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Default Extension="bmp" ContentType="image/bmp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735" activeTab="1"/>
  </bookViews>
  <sheets>
    <sheet name="оглавление" sheetId="1" r:id="rId1"/>
    <sheet name="1" sheetId="2" r:id="rId2"/>
    <sheet name="2" sheetId="3" r:id="rId3"/>
    <sheet name="д2" sheetId="4" r:id="rId4"/>
    <sheet name="д2 (2)" sheetId="5" r:id="rId5"/>
    <sheet name="д2б" sheetId="6" r:id="rId6"/>
    <sheet name="3" sheetId="7" r:id="rId7"/>
    <sheet name="д3" sheetId="8" r:id="rId8"/>
    <sheet name="д3б" sheetId="9" r:id="rId9"/>
    <sheet name="4" sheetId="10" r:id="rId10"/>
    <sheet name="5" sheetId="11" r:id="rId11"/>
    <sheet name="6" sheetId="12" r:id="rId12"/>
    <sheet name="7" sheetId="13" r:id="rId13"/>
    <sheet name="д7" sheetId="14" r:id="rId14"/>
    <sheet name="8" sheetId="15" r:id="rId15"/>
    <sheet name="9" sheetId="16" r:id="rId16"/>
    <sheet name="д9" sheetId="17" r:id="rId17"/>
    <sheet name="10" sheetId="18" r:id="rId18"/>
    <sheet name="11" sheetId="19" r:id="rId19"/>
    <sheet name="д11" sheetId="20" r:id="rId20"/>
    <sheet name="11 (2)" sheetId="21" r:id="rId21"/>
    <sheet name="12" sheetId="22" r:id="rId22"/>
    <sheet name="д12" sheetId="23" r:id="rId23"/>
    <sheet name="д12(2)" sheetId="24" r:id="rId24"/>
    <sheet name="13" sheetId="25" r:id="rId25"/>
    <sheet name="14" sheetId="26" r:id="rId26"/>
    <sheet name="15" sheetId="27" r:id="rId27"/>
    <sheet name="16" sheetId="28" r:id="rId28"/>
    <sheet name="17" sheetId="29" r:id="rId29"/>
    <sheet name="18" sheetId="30" r:id="rId30"/>
    <sheet name="19" sheetId="31" r:id="rId31"/>
    <sheet name="д19" sheetId="32" r:id="rId32"/>
    <sheet name="20" sheetId="33" r:id="rId33"/>
    <sheet name="д20" sheetId="34" r:id="rId34"/>
    <sheet name="д20 (2)" sheetId="35" r:id="rId35"/>
    <sheet name="21" sheetId="36" r:id="rId36"/>
    <sheet name="22" sheetId="37" r:id="rId37"/>
    <sheet name="23" sheetId="38" r:id="rId38"/>
    <sheet name="24" sheetId="39" r:id="rId39"/>
    <sheet name="25" sheetId="40" r:id="rId40"/>
    <sheet name="26" sheetId="41" r:id="rId41"/>
    <sheet name="27" sheetId="42" r:id="rId42"/>
    <sheet name="28" sheetId="43" r:id="rId43"/>
  </sheets>
  <definedNames/>
  <calcPr fullCalcOnLoad="1"/>
</workbook>
</file>

<file path=xl/sharedStrings.xml><?xml version="1.0" encoding="utf-8"?>
<sst xmlns="http://schemas.openxmlformats.org/spreadsheetml/2006/main" count="377" uniqueCount="256">
  <si>
    <t>расчет чувствительности и специфичности</t>
  </si>
  <si>
    <t>диагноз</t>
  </si>
  <si>
    <t>положительный</t>
  </si>
  <si>
    <t>отрицательный</t>
  </si>
  <si>
    <t>всего</t>
  </si>
  <si>
    <t>болезнь</t>
  </si>
  <si>
    <t>есть</t>
  </si>
  <si>
    <t>нет</t>
  </si>
  <si>
    <t>доля больных</t>
  </si>
  <si>
    <t>доля положительных диагнозов</t>
  </si>
  <si>
    <t>чувствительность</t>
  </si>
  <si>
    <t>специфичноость</t>
  </si>
  <si>
    <t>вероятность болезни при положительном диагнозе</t>
  </si>
  <si>
    <t>вероятность болезни при отрицательном диагнозе</t>
  </si>
  <si>
    <t>относительные риски</t>
  </si>
  <si>
    <t>вид вирусного гепатита</t>
  </si>
  <si>
    <t>mixed</t>
  </si>
  <si>
    <t>A</t>
  </si>
  <si>
    <t>B</t>
  </si>
  <si>
    <t>C</t>
  </si>
  <si>
    <t>количество больных</t>
  </si>
  <si>
    <t>доля</t>
  </si>
  <si>
    <t>погрешность -</t>
  </si>
  <si>
    <t>погрешность +</t>
  </si>
  <si>
    <t xml:space="preserve">Count </t>
  </si>
  <si>
    <t>Total</t>
  </si>
  <si>
    <t>доля умерших</t>
  </si>
  <si>
    <t>доля для выживших</t>
  </si>
  <si>
    <t>доля для умерших</t>
  </si>
  <si>
    <t>decreased lever of consciousness</t>
  </si>
  <si>
    <t>yes</t>
  </si>
  <si>
    <t>no</t>
  </si>
  <si>
    <t>VOZ25 * decreased lever of consciousness  Crosstabulation</t>
  </si>
  <si>
    <t>VOZ25</t>
  </si>
  <si>
    <t>расчет частот и построение графиков</t>
  </si>
  <si>
    <t>то же для таблиц совместного распределения, построенных в SPSS</t>
  </si>
  <si>
    <t>P(R+)</t>
  </si>
  <si>
    <t>P(A+/R+)</t>
  </si>
  <si>
    <t>P(A+/R-)</t>
  </si>
  <si>
    <t>P(R-)</t>
  </si>
  <si>
    <t>P(A-/R+)</t>
  </si>
  <si>
    <t>P(A-/R-)</t>
  </si>
  <si>
    <t>P(A+R+)</t>
  </si>
  <si>
    <t>P(A-R+)</t>
  </si>
  <si>
    <t>P(A+R-)</t>
  </si>
  <si>
    <t>P(A-R-)</t>
  </si>
  <si>
    <t>P(A+)</t>
  </si>
  <si>
    <t>P(A-)</t>
  </si>
  <si>
    <t>P(R+/A+)</t>
  </si>
  <si>
    <t>P(R+/A-)</t>
  </si>
  <si>
    <t>расчет частот заболевания по симптому по частоте симпотма при заболевании</t>
  </si>
  <si>
    <t>формула полной вероятности Байеса</t>
  </si>
  <si>
    <t>исходные данные, которые можно менять - синие</t>
  </si>
  <si>
    <t>области, куда копируется таблица из SPSS - желтая</t>
  </si>
  <si>
    <t>окончательные результаты расчетов - зеленые</t>
  </si>
  <si>
    <t>вероятность того, что будет хорошо</t>
  </si>
  <si>
    <t>количество критериев счастья</t>
  </si>
  <si>
    <t>вероятность того, что будет плохо</t>
  </si>
  <si>
    <t>вероятность того, что всегда будет плохо</t>
  </si>
  <si>
    <t>вероятность того, что всегда будет хорошо</t>
  </si>
  <si>
    <t>вычисление вероятности появления длинной цепочки независимых событий</t>
  </si>
  <si>
    <t>вероятность того, что:</t>
  </si>
  <si>
    <t>мотор откажет</t>
  </si>
  <si>
    <t>мотор не откажет</t>
  </si>
  <si>
    <t>ни один из четырех моторов не откажет</t>
  </si>
  <si>
    <t>первый откажет, остальные - нет</t>
  </si>
  <si>
    <t>один из четырех моторов откажет</t>
  </si>
  <si>
    <t>откажет не больше одного мотора</t>
  </si>
  <si>
    <t>разбиться</t>
  </si>
  <si>
    <t>расчет вероятности разбиться на четырехмоторном самолете</t>
  </si>
  <si>
    <t>летальность</t>
  </si>
  <si>
    <t>количество покойников</t>
  </si>
  <si>
    <t>вероятность того, что умрет</t>
  </si>
  <si>
    <t>столько</t>
  </si>
  <si>
    <t>столько или меньше</t>
  </si>
  <si>
    <t>столько или больше</t>
  </si>
  <si>
    <t>расчет частот и построение частотной диаграммы для биномиального распределения</t>
  </si>
  <si>
    <t>при изменении размера группы, изменить число строк расчета и длину рядов в диаграмме</t>
  </si>
  <si>
    <t>группа</t>
  </si>
  <si>
    <t>мужчины</t>
  </si>
  <si>
    <t>женщины</t>
  </si>
  <si>
    <t>фактическое количество</t>
  </si>
  <si>
    <t>ожидаемое количество</t>
  </si>
  <si>
    <t>различие</t>
  </si>
  <si>
    <t>определение достоверности различия размеров двух групп в предположении об их равновероятности</t>
  </si>
  <si>
    <t>используется критерий х2</t>
  </si>
  <si>
    <t>р=0,05</t>
  </si>
  <si>
    <t>кто дал отвод</t>
  </si>
  <si>
    <t>терапевт</t>
  </si>
  <si>
    <t>хирург</t>
  </si>
  <si>
    <t>окулист</t>
  </si>
  <si>
    <t>психиатр</t>
  </si>
  <si>
    <t>иные</t>
  </si>
  <si>
    <t>ожидаемая доля</t>
  </si>
  <si>
    <t>фактическая доля</t>
  </si>
  <si>
    <t>ожидаемое различие</t>
  </si>
  <si>
    <t>ожидаемое р=</t>
  </si>
  <si>
    <t>минимальное ожидаемое количество</t>
  </si>
  <si>
    <t>максимальное ожидаемое количество</t>
  </si>
  <si>
    <t>погрешность вероятности -</t>
  </si>
  <si>
    <t>погрешность вероятности +</t>
  </si>
  <si>
    <t>определение достоверности различия фактических частот от ожидаемых вероятностей и построение графика</t>
  </si>
  <si>
    <t>при изменении количества групп - изменить количество строк в расчете и длину рядов диаграммы</t>
  </si>
  <si>
    <t>тяжелые</t>
  </si>
  <si>
    <t>средние</t>
  </si>
  <si>
    <t>легкие</t>
  </si>
  <si>
    <t>фактические количества</t>
  </si>
  <si>
    <t>вга</t>
  </si>
  <si>
    <t>вгб</t>
  </si>
  <si>
    <t>вгс</t>
  </si>
  <si>
    <t>фактические доли</t>
  </si>
  <si>
    <t>сумма различий</t>
  </si>
  <si>
    <t>определение достоверности различий нескольких наборов частот</t>
  </si>
  <si>
    <t>больница</t>
  </si>
  <si>
    <t>№57</t>
  </si>
  <si>
    <t>Бурденко</t>
  </si>
  <si>
    <t>Склифа</t>
  </si>
  <si>
    <t>№2</t>
  </si>
  <si>
    <t>Василенко</t>
  </si>
  <si>
    <t>ЦКБ</t>
  </si>
  <si>
    <t>число больных</t>
  </si>
  <si>
    <t>число осложнений</t>
  </si>
  <si>
    <t>доля осложнений</t>
  </si>
  <si>
    <t>ожидаемое количество осложнений</t>
  </si>
  <si>
    <t>совокупная частота</t>
  </si>
  <si>
    <t>примерная погрешность</t>
  </si>
  <si>
    <t>исходные данные</t>
  </si>
  <si>
    <t>данные нарастающим итогом</t>
  </si>
  <si>
    <t>проверка гипотезы о равенстве набора частот и построение графика частот с доверительными границами и нарастающим итогом "в стиле доказательной медицины"</t>
  </si>
  <si>
    <t>данные вводить в лист 11 (2)</t>
  </si>
  <si>
    <t>количество испытуемых</t>
  </si>
  <si>
    <t>старый метод</t>
  </si>
  <si>
    <t>новый метод</t>
  </si>
  <si>
    <t>доверительные границы для относительного риска</t>
  </si>
  <si>
    <t>погрешность-</t>
  </si>
  <si>
    <t>погрешность+</t>
  </si>
  <si>
    <t>номер по порядку</t>
  </si>
  <si>
    <t>расчет относительных рисков и построение графиков</t>
  </si>
  <si>
    <t>объединенная</t>
  </si>
  <si>
    <t>размер</t>
  </si>
  <si>
    <t>средняя арифметическая</t>
  </si>
  <si>
    <t>среднеквадратичное отклонение</t>
  </si>
  <si>
    <t>дисперсия</t>
  </si>
  <si>
    <t>средний квадрат</t>
  </si>
  <si>
    <t>расчет среднего арифметического и среднеквадратичного отклонения после объединения групп</t>
  </si>
  <si>
    <t>размер группы</t>
  </si>
  <si>
    <t>среднеквадратичное отклонение в группе</t>
  </si>
  <si>
    <t>ожидаемое значение среднеквадратичного отклонения</t>
  </si>
  <si>
    <t>наблюдаемая дисперсия</t>
  </si>
  <si>
    <t>ожидаемая дисперсия</t>
  </si>
  <si>
    <t>отношение дисперсий</t>
  </si>
  <si>
    <t>достоверность различий</t>
  </si>
  <si>
    <t>доверительная вероятность того, что наблюдаемая дисперсия больше ожидаемой</t>
  </si>
  <si>
    <t>доверительная вероятность того, что наблюдаемая дисперсия меньше ожидаемой</t>
  </si>
  <si>
    <t>определение достоверности отличия наблюдаемой дисперсии нормально распределенной случайной величины от ожидаемого значения</t>
  </si>
  <si>
    <t>р равно</t>
  </si>
  <si>
    <t>минимальное ожидаемое значение Хи2</t>
  </si>
  <si>
    <t>максимальное ожидаемое значение Хи2</t>
  </si>
  <si>
    <t>максимальное ожидаемое значение дисперсии</t>
  </si>
  <si>
    <t>минимальное ожидаемое значение дисперсии</t>
  </si>
  <si>
    <t>максимальное ожидаемое значение среднеквадратичного отклонения</t>
  </si>
  <si>
    <t>минимальное ожидаемое значение среднеквадратичного отклонения</t>
  </si>
  <si>
    <t>определение доверительных границ к дисперсии нормально распределенной случайной величины</t>
  </si>
  <si>
    <t>наблюдаемые среднеквадратичные отклонения</t>
  </si>
  <si>
    <t>дисперсии</t>
  </si>
  <si>
    <t>F</t>
  </si>
  <si>
    <t>определение достоверности различий двух оценок дисперсий нормально распределенной случайной величины</t>
  </si>
  <si>
    <t>в качестве первой группы взять ту, где дисперсия больше</t>
  </si>
  <si>
    <t>полученное значение среднего арифметического</t>
  </si>
  <si>
    <t>ожидаемое значение среднего арифметического</t>
  </si>
  <si>
    <t>среднеквадратичное отклонение среднего арифметического по группе</t>
  </si>
  <si>
    <t>t равно</t>
  </si>
  <si>
    <t>определение достоверности отличия среднего арифметического нормально распределенной случайной величины от ожидаемого значения</t>
  </si>
  <si>
    <t>используется распределение Стьюдента</t>
  </si>
  <si>
    <t>среднеквадратичное отклонение среднего арифметического</t>
  </si>
  <si>
    <t>погрешность среднего</t>
  </si>
  <si>
    <t>минимальное ожидаемое значение среднего</t>
  </si>
  <si>
    <t>максимальное ожидаемое значение среднего</t>
  </si>
  <si>
    <t>определение доверительных границ к математическому ожиданию нормально распределенной случайной величины</t>
  </si>
  <si>
    <t>среднее</t>
  </si>
  <si>
    <t>р =</t>
  </si>
  <si>
    <t>среднеквадратичное отклонение среднего по группе</t>
  </si>
  <si>
    <t>t =</t>
  </si>
  <si>
    <t>погрешность средняя</t>
  </si>
  <si>
    <t>построение столбиковой диаграммы среднего с доверительными границами</t>
  </si>
  <si>
    <t>Report</t>
  </si>
  <si>
    <t>white blood cell count</t>
  </si>
  <si>
    <t>Mean</t>
  </si>
  <si>
    <t>N</t>
  </si>
  <si>
    <t>Std. Deviation</t>
  </si>
  <si>
    <t>Std. Error of Mean</t>
  </si>
  <si>
    <t>&lt;4</t>
  </si>
  <si>
    <t>4-9</t>
  </si>
  <si>
    <t>9-25</t>
  </si>
  <si>
    <t>&gt;25</t>
  </si>
  <si>
    <t xml:space="preserve">pulse of the patient in minuite </t>
  </si>
  <si>
    <t>то же с данными из таблицы SPSS</t>
  </si>
  <si>
    <t>при ином количестве групп поменять количество строк расчета и длину рядов</t>
  </si>
  <si>
    <t>сумма/разность</t>
  </si>
  <si>
    <t>определение достоверности различия средних из двух групп для нормально распределенной случайной величины в предположении о равенстве дисперсий</t>
  </si>
  <si>
    <t>достоверность различия говорит о том, что различаются или средние или дисперсии</t>
  </si>
  <si>
    <t>определение достоверности различия среднего из достаточно больших групп примерно нормального распределения</t>
  </si>
  <si>
    <t>полученный коэффициент корреляции</t>
  </si>
  <si>
    <t>ожидаемый коэффициент корреляции</t>
  </si>
  <si>
    <t>количество наблюдений</t>
  </si>
  <si>
    <t>преобразование Фишера от полученного коэффициента корреляции</t>
  </si>
  <si>
    <t>преобразование Фишера от ожидаемый коэффициента корреляции</t>
  </si>
  <si>
    <t>определение достоверности отличия полученного коэффициента корреляции от ожидаемого</t>
  </si>
  <si>
    <t>Фишер от полученного коэффициента корреляции</t>
  </si>
  <si>
    <t>погрешность Фишера от коэффициента корреляции</t>
  </si>
  <si>
    <t>максимальное ожидаемое значение Фишера от коэффициента корреляции</t>
  </si>
  <si>
    <t>минимальное ожидаемое значение Фишера от коэффициента корреляции</t>
  </si>
  <si>
    <t>максимальное ожидаемое значениекоэффициента корреляции</t>
  </si>
  <si>
    <t>минимальное ожидаемое значениекоэффициента корреляции</t>
  </si>
  <si>
    <t>расчет доверительных границ для оценки коэффициента корреляции</t>
  </si>
  <si>
    <t>наблюдаемый коэффициент корреляции</t>
  </si>
  <si>
    <t>Фишер от коэффициента корреляции</t>
  </si>
  <si>
    <t>среднеквадратичное отклонение Фишера</t>
  </si>
  <si>
    <t>определение достоверности различий двух коэффициентов корреляции в разных группах</t>
  </si>
  <si>
    <t>дисперсия невязки прогнозирование первой случайной величины по второй</t>
  </si>
  <si>
    <t>дисперсия исходной случайной величины</t>
  </si>
  <si>
    <t>среднее квадратичное отклонение случайной величины, измеряемой со случайной ошибкой</t>
  </si>
  <si>
    <t>коэффициент корреляции этой случайной величины с другой</t>
  </si>
  <si>
    <t>среднее квадратичное отклонение случайной ошибки измерения первой величины</t>
  </si>
  <si>
    <t>дисперсия ошибки измерения</t>
  </si>
  <si>
    <t>истинная дисперсия случайной величины</t>
  </si>
  <si>
    <t>истинная дисперсия невязки</t>
  </si>
  <si>
    <t>истинный коэффициент корреляции</t>
  </si>
  <si>
    <t>вычисление поправленного коэффициента корреляции в случае, если одна из измеряемых случайных величин задана со случайной ошибкой измерения</t>
  </si>
  <si>
    <t>коэффициент корреляции между половинками теста</t>
  </si>
  <si>
    <t>коэффициент корреляции теста с тем свойством, которое оно определяет</t>
  </si>
  <si>
    <t>расчет надежности теста по коэффициенту корреляции между его половинками</t>
  </si>
  <si>
    <t>Coefficients</t>
  </si>
  <si>
    <t>Unstandardized Coefficients</t>
  </si>
  <si>
    <t>Standardized Coefficients</t>
  </si>
  <si>
    <t>t</t>
  </si>
  <si>
    <t>Sig.</t>
  </si>
  <si>
    <t>Model</t>
  </si>
  <si>
    <t>Std. Error</t>
  </si>
  <si>
    <t>Beta</t>
  </si>
  <si>
    <t>(Constant)</t>
  </si>
  <si>
    <t>LINL</t>
  </si>
  <si>
    <t>respiratory rate</t>
  </si>
  <si>
    <t>diastolic blood pressure</t>
  </si>
  <si>
    <t>cerebro-vascula disease</t>
  </si>
  <si>
    <t>age of patient</t>
  </si>
  <si>
    <t>chronical heart failure 2-3</t>
  </si>
  <si>
    <t>cirros of liver</t>
  </si>
  <si>
    <t>a</t>
  </si>
  <si>
    <t>Dependent Variable: УМЕР</t>
  </si>
  <si>
    <t>значения переменных для конкретного больного</t>
  </si>
  <si>
    <t>прогнозируемое значение исхода</t>
  </si>
  <si>
    <t>PROGNOZ * УМЕР Crosstabulation</t>
  </si>
  <si>
    <t>УМЕР</t>
  </si>
  <si>
    <t>PROGNOZ</t>
  </si>
  <si>
    <t>расчет прогноза по формуле линейной регресии и определения вероятности летального исхода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</si>
</sst>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5">
    <font>
      <sz val="10"/>
      <name val="Arial Cyr"/>
      <family val="0"/>
    </font>
    <font>
      <sz val="10"/>
      <color indexed="12"/>
      <name val="Arial Cyr"/>
      <family val="2"/>
    </font>
    <font>
      <sz val="10"/>
      <color indexed="57"/>
      <name val="Arial Cyr"/>
      <family val="2"/>
    </font>
    <font>
      <sz val="10"/>
      <color indexed="48"/>
      <name val="Arial Cyr"/>
      <family val="2"/>
    </font>
    <font>
      <sz val="10"/>
      <color indexed="1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8"/>
      <color indexed="8"/>
      <name val="Arial Cyr"/>
      <family val="0"/>
    </font>
    <font>
      <sz val="14"/>
      <color indexed="12"/>
      <name val="Arial Cyr"/>
      <family val="0"/>
    </font>
    <font>
      <sz val="14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worksheet" Target="worksheets/sheet14.xml" /><Relationship Id="rId23" Type="http://schemas.openxmlformats.org/officeDocument/2006/relationships/chartsheet" Target="chartsheets/sheet9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worksheet" Target="worksheets/sheet16.xml" /><Relationship Id="rId27" Type="http://schemas.openxmlformats.org/officeDocument/2006/relationships/worksheet" Target="worksheets/sheet17.xml" /><Relationship Id="rId28" Type="http://schemas.openxmlformats.org/officeDocument/2006/relationships/worksheet" Target="worksheets/sheet18.xml" /><Relationship Id="rId29" Type="http://schemas.openxmlformats.org/officeDocument/2006/relationships/worksheet" Target="worksheets/sheet19.xml" /><Relationship Id="rId30" Type="http://schemas.openxmlformats.org/officeDocument/2006/relationships/worksheet" Target="worksheets/sheet20.xml" /><Relationship Id="rId31" Type="http://schemas.openxmlformats.org/officeDocument/2006/relationships/worksheet" Target="worksheets/sheet21.xml" /><Relationship Id="rId32" Type="http://schemas.openxmlformats.org/officeDocument/2006/relationships/chartsheet" Target="chartsheets/sheet11.xml" /><Relationship Id="rId33" Type="http://schemas.openxmlformats.org/officeDocument/2006/relationships/worksheet" Target="worksheets/sheet22.xml" /><Relationship Id="rId34" Type="http://schemas.openxmlformats.org/officeDocument/2006/relationships/chartsheet" Target="chartsheets/sheet12.xml" /><Relationship Id="rId35" Type="http://schemas.openxmlformats.org/officeDocument/2006/relationships/chartsheet" Target="chartsheets/sheet13.xml" /><Relationship Id="rId36" Type="http://schemas.openxmlformats.org/officeDocument/2006/relationships/worksheet" Target="worksheets/sheet23.xml" /><Relationship Id="rId37" Type="http://schemas.openxmlformats.org/officeDocument/2006/relationships/worksheet" Target="worksheets/sheet24.xml" /><Relationship Id="rId38" Type="http://schemas.openxmlformats.org/officeDocument/2006/relationships/worksheet" Target="worksheets/sheet25.xml" /><Relationship Id="rId39" Type="http://schemas.openxmlformats.org/officeDocument/2006/relationships/worksheet" Target="worksheets/sheet26.xml" /><Relationship Id="rId40" Type="http://schemas.openxmlformats.org/officeDocument/2006/relationships/worksheet" Target="worksheets/sheet27.xml" /><Relationship Id="rId41" Type="http://schemas.openxmlformats.org/officeDocument/2006/relationships/worksheet" Target="worksheets/sheet28.xml" /><Relationship Id="rId42" Type="http://schemas.openxmlformats.org/officeDocument/2006/relationships/worksheet" Target="worksheets/sheet29.xml" /><Relationship Id="rId43" Type="http://schemas.openxmlformats.org/officeDocument/2006/relationships/worksheet" Target="worksheets/sheet30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bmp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bmp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распределение больных по видам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5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30925"/>
          <c:y val="0.2885"/>
          <c:w val="0.3705"/>
          <c:h val="0.51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996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339966"/>
                </a:solidFill>
              </a:ln>
            </c:spPr>
          </c:dPt>
          <c:dPt>
            <c:idx val="1"/>
            <c:explosion val="15"/>
            <c:spPr>
              <a:gradFill rotWithShape="1">
                <a:gsLst>
                  <a:gs pos="0">
                    <a:srgbClr val="FFFF00"/>
                  </a:gs>
                  <a:gs pos="100000">
                    <a:srgbClr val="FF00FF"/>
                  </a:gs>
                </a:gsLst>
                <a:lin ang="5400000" scaled="1"/>
              </a:gradFill>
              <a:ln w="12700">
                <a:solidFill>
                  <a:srgbClr val="339966"/>
                </a:solidFill>
              </a:ln>
            </c:spPr>
          </c:dPt>
          <c:dPt>
            <c:idx val="2"/>
            <c:explosion val="27"/>
            <c:spPr>
              <a:pattFill prst="horzBrick">
                <a:fgClr>
                  <a:srgbClr val="0000FF"/>
                </a:fgClr>
                <a:bgClr>
                  <a:srgbClr val="808000"/>
                </a:bgClr>
              </a:pattFill>
              <a:ln w="12700">
                <a:solidFill>
                  <a:srgbClr val="339966"/>
                </a:solidFill>
              </a:ln>
            </c:spPr>
          </c:dPt>
          <c:dPt>
            <c:idx val="3"/>
            <c:explosion val="63"/>
            <c:spPr>
              <a:solidFill>
                <a:srgbClr val="CCFFFF"/>
              </a:solidFill>
              <a:ln w="12700">
                <a:solidFill>
                  <a:srgbClr val="339966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2!$A$2:$A$5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mixed</c:v>
                </c:pt>
              </c:strCache>
            </c:strRef>
          </c:cat>
          <c:val>
            <c:numRef>
              <c:f>2!$B$2:$B$5</c:f>
              <c:numCache>
                <c:ptCount val="4"/>
                <c:pt idx="0">
                  <c:v>275</c:v>
                </c:pt>
                <c:pt idx="1">
                  <c:v>48</c:v>
                </c:pt>
                <c:pt idx="2">
                  <c:v>38</c:v>
                </c:pt>
                <c:pt idx="3">
                  <c:v>29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stretch>
        <a:fillRect/>
      </a:stretch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относительный риск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65"/>
          <c:w val="0.97925"/>
          <c:h val="0.8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7"/>
                <c:pt idx="0">
                  <c:v>0.3582758620689655</c:v>
                </c:pt>
                <c:pt idx="1">
                  <c:v>0.3842148760330579</c:v>
                </c:pt>
                <c:pt idx="2">
                  <c:v>0.29172413793103447</c:v>
                </c:pt>
                <c:pt idx="3">
                  <c:v>0.25764705882352945</c:v>
                </c:pt>
                <c:pt idx="4">
                  <c:v>0.3473627748971929</c:v>
                </c:pt>
                <c:pt idx="5">
                  <c:v>0.32827586206896553</c:v>
                </c:pt>
                <c:pt idx="6">
                  <c:v>0.13121250497890985</c:v>
                </c:pt>
              </c:numLit>
            </c:plus>
            <c:minus>
              <c:numLit>
                <c:ptCount val="7"/>
                <c:pt idx="0">
                  <c:v>0.7317241379310344</c:v>
                </c:pt>
                <c:pt idx="1">
                  <c:v>0.8357851239669422</c:v>
                </c:pt>
                <c:pt idx="2">
                  <c:v>0.6082758620689654</c:v>
                </c:pt>
                <c:pt idx="3">
                  <c:v>0.4323529411764706</c:v>
                </c:pt>
                <c:pt idx="4">
                  <c:v>0.642637225102807</c:v>
                </c:pt>
                <c:pt idx="5">
                  <c:v>0.6417241379310346</c:v>
                </c:pt>
                <c:pt idx="6">
                  <c:v>0.16878749502109014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'12'!$N$3:$N$9</c:f>
              <c:numCache>
                <c:ptCount val="7"/>
                <c:pt idx="0">
                  <c:v>0.6982758620689655</c:v>
                </c:pt>
                <c:pt idx="1">
                  <c:v>0.6942148760330579</c:v>
                </c:pt>
                <c:pt idx="2">
                  <c:v>0.5517241379310345</c:v>
                </c:pt>
                <c:pt idx="3">
                  <c:v>0.6176470588235294</c:v>
                </c:pt>
                <c:pt idx="4">
                  <c:v>0.7473627748971929</c:v>
                </c:pt>
                <c:pt idx="5">
                  <c:v>0.6982758620689655</c:v>
                </c:pt>
                <c:pt idx="6">
                  <c:v>0.5612125049789098</c:v>
                </c:pt>
              </c:numCache>
            </c:numRef>
          </c:xVal>
          <c:yVal>
            <c:numRef>
              <c:f>'12'!$A$3:$A$9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yVal>
          <c:smooth val="0"/>
        </c:ser>
        <c:axId val="13427046"/>
        <c:axId val="53734551"/>
      </c:scatterChart>
      <c:valAx>
        <c:axId val="134270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34551"/>
        <c:crosses val="autoZero"/>
        <c:crossBetween val="midCat"/>
        <c:dispUnits/>
      </c:valAx>
      <c:valAx>
        <c:axId val="53734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270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25"/>
          <c:w val="0.97925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'19'!$B$8:$D$8</c:f>
                <c:numCache>
                  <c:ptCount val="3"/>
                  <c:pt idx="0">
                    <c:v>1.0317927881169964</c:v>
                  </c:pt>
                  <c:pt idx="1">
                    <c:v>1.503132908849536</c:v>
                  </c:pt>
                  <c:pt idx="2">
                    <c:v>2.2464691459283452</c:v>
                  </c:pt>
                </c:numCache>
              </c:numRef>
            </c:plus>
            <c:minus>
              <c:numRef>
                <c:f>'19'!$B$8:$D$8</c:f>
                <c:numCache>
                  <c:ptCount val="3"/>
                  <c:pt idx="0">
                    <c:v>1.0317927881169964</c:v>
                  </c:pt>
                  <c:pt idx="1">
                    <c:v>1.503132908849536</c:v>
                  </c:pt>
                  <c:pt idx="2">
                    <c:v>2.2464691459283452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'19'!$B$1:$D$1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'19'!$B$2:$D$2</c:f>
              <c:numCache>
                <c:ptCount val="3"/>
                <c:pt idx="0">
                  <c:v>16.8</c:v>
                </c:pt>
                <c:pt idx="1">
                  <c:v>14.4</c:v>
                </c:pt>
                <c:pt idx="2">
                  <c:v>11</c:v>
                </c:pt>
              </c:numCache>
            </c:numRef>
          </c:val>
        </c:ser>
        <c:axId val="13848912"/>
        <c:axId val="57531345"/>
      </c:bar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31345"/>
        <c:crosses val="autoZero"/>
        <c:auto val="1"/>
        <c:lblOffset val="100"/>
        <c:tickLblSkip val="1"/>
        <c:noMultiLvlLbl val="0"/>
      </c:catAx>
      <c:valAx>
        <c:axId val="57531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48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средняя чсс по группе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65"/>
          <c:w val="0.9792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'20'!$G$4:$G$8</c:f>
                <c:numCache>
                  <c:ptCount val="5"/>
                  <c:pt idx="0">
                    <c:v>4.985541684428547</c:v>
                  </c:pt>
                  <c:pt idx="1">
                    <c:v>1.3249449383188292</c:v>
                  </c:pt>
                  <c:pt idx="2">
                    <c:v>1.0011152925474451</c:v>
                  </c:pt>
                  <c:pt idx="3">
                    <c:v>4.257373636362027</c:v>
                  </c:pt>
                  <c:pt idx="4">
                    <c:v>0.8480813659359508</c:v>
                  </c:pt>
                </c:numCache>
              </c:numRef>
            </c:plus>
            <c:minus>
              <c:numRef>
                <c:f>'20'!$G$4:$G$8</c:f>
                <c:numCache>
                  <c:ptCount val="5"/>
                  <c:pt idx="0">
                    <c:v>4.985541684428547</c:v>
                  </c:pt>
                  <c:pt idx="1">
                    <c:v>1.3249449383188292</c:v>
                  </c:pt>
                  <c:pt idx="2">
                    <c:v>1.0011152925474451</c:v>
                  </c:pt>
                  <c:pt idx="3">
                    <c:v>4.257373636362027</c:v>
                  </c:pt>
                  <c:pt idx="4">
                    <c:v>0.8480813659359508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'20'!$A$4:$A$8</c:f>
              <c:strCache>
                <c:ptCount val="5"/>
                <c:pt idx="0">
                  <c:v>&lt;4</c:v>
                </c:pt>
                <c:pt idx="1">
                  <c:v>4-9</c:v>
                </c:pt>
                <c:pt idx="2">
                  <c:v>9-25</c:v>
                </c:pt>
                <c:pt idx="3">
                  <c:v>&gt;25</c:v>
                </c:pt>
                <c:pt idx="4">
                  <c:v>Total</c:v>
                </c:pt>
              </c:strCache>
            </c:strRef>
          </c:cat>
          <c:val>
            <c:numRef>
              <c:f>'20'!$B$4:$B$8</c:f>
              <c:numCache>
                <c:ptCount val="5"/>
                <c:pt idx="0">
                  <c:v>106.33333333333333</c:v>
                </c:pt>
                <c:pt idx="1">
                  <c:v>93.58899676375407</c:v>
                </c:pt>
                <c:pt idx="2">
                  <c:v>96.56249999999994</c:v>
                </c:pt>
                <c:pt idx="3">
                  <c:v>109.52702702702705</c:v>
                </c:pt>
                <c:pt idx="4">
                  <c:v>97.14147286821702</c:v>
                </c:pt>
              </c:numCache>
            </c:numRef>
          </c:val>
        </c:ser>
        <c:axId val="48020058"/>
        <c:axId val="29527339"/>
      </c:barChart>
      <c:catAx>
        <c:axId val="4802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27339"/>
        <c:crosses val="autoZero"/>
        <c:auto val="1"/>
        <c:lblOffset val="100"/>
        <c:tickLblSkip val="1"/>
        <c:noMultiLvlLbl val="0"/>
      </c:catAx>
      <c:valAx>
        <c:axId val="29527339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20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средняя чсс по группе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65"/>
          <c:w val="0.9792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'20'!$G$4:$G$8</c:f>
                <c:numCache>
                  <c:ptCount val="4"/>
                  <c:pt idx="0">
                    <c:v>4.985541684428547</c:v>
                  </c:pt>
                  <c:pt idx="1">
                    <c:v>1.3249449383188292</c:v>
                  </c:pt>
                  <c:pt idx="2">
                    <c:v>1.0011152925474451</c:v>
                  </c:pt>
                  <c:pt idx="3">
                    <c:v>4.257373636362027</c:v>
                  </c:pt>
                </c:numCache>
              </c:numRef>
            </c:plus>
            <c:minus>
              <c:numRef>
                <c:f>'20'!$G$4:$G$8</c:f>
                <c:numCache>
                  <c:ptCount val="4"/>
                  <c:pt idx="0">
                    <c:v>4.985541684428547</c:v>
                  </c:pt>
                  <c:pt idx="1">
                    <c:v>1.3249449383188292</c:v>
                  </c:pt>
                  <c:pt idx="2">
                    <c:v>1.0011152925474451</c:v>
                  </c:pt>
                  <c:pt idx="3">
                    <c:v>4.257373636362027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'20'!$A$4:$A$8</c:f>
              <c:strCache>
                <c:ptCount val="4"/>
                <c:pt idx="0">
                  <c:v>&lt;4</c:v>
                </c:pt>
                <c:pt idx="1">
                  <c:v>4-9</c:v>
                </c:pt>
                <c:pt idx="2">
                  <c:v>9-25</c:v>
                </c:pt>
                <c:pt idx="3">
                  <c:v>&gt;25</c:v>
                </c:pt>
              </c:strCache>
            </c:strRef>
          </c:cat>
          <c:val>
            <c:numRef>
              <c:f>'20'!$B$4:$B$7</c:f>
              <c:numCache>
                <c:ptCount val="4"/>
                <c:pt idx="0">
                  <c:v>106.33333333333333</c:v>
                </c:pt>
                <c:pt idx="1">
                  <c:v>93.58899676375407</c:v>
                </c:pt>
                <c:pt idx="2">
                  <c:v>96.56249999999994</c:v>
                </c:pt>
                <c:pt idx="3">
                  <c:v>109.52702702702705</c:v>
                </c:pt>
              </c:numCache>
            </c:numRef>
          </c:val>
        </c:ser>
        <c:axId val="64419460"/>
        <c:axId val="42904229"/>
      </c:barChart>
      <c:catAx>
        <c:axId val="6441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04229"/>
        <c:crosses val="autoZero"/>
        <c:auto val="1"/>
        <c:lblOffset val="100"/>
        <c:tickLblSkip val="1"/>
        <c:noMultiLvlLbl val="0"/>
      </c:catAx>
      <c:valAx>
        <c:axId val="42904229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19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распределение больных по видам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64"/>
      <c:hPercent val="53"/>
      <c:rotY val="54"/>
      <c:depthPercent val="100"/>
      <c:rAngAx val="1"/>
    </c:view3D>
    <c:plotArea>
      <c:layout>
        <c:manualLayout>
          <c:xMode val="edge"/>
          <c:yMode val="edge"/>
          <c:x val="0.01"/>
          <c:y val="0.1305"/>
          <c:w val="0.9792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339966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00FF"/>
                  </a:gs>
                </a:gsLst>
                <a:lin ang="5400000" scaled="1"/>
              </a:gradFill>
              <a:ln w="12700">
                <a:solidFill>
                  <a:srgbClr val="339966"/>
                </a:solidFill>
              </a:ln>
            </c:spPr>
          </c:dPt>
          <c:dPt>
            <c:idx val="2"/>
            <c:invertIfNegative val="0"/>
            <c:spPr>
              <a:pattFill prst="horzBrick">
                <a:fgClr>
                  <a:srgbClr val="0000FF"/>
                </a:fgClr>
                <a:bgClr>
                  <a:srgbClr val="808000"/>
                </a:bgClr>
              </a:pattFill>
              <a:ln w="12700">
                <a:solidFill>
                  <a:srgbClr val="339966"/>
                </a:solidFill>
              </a:ln>
            </c:spPr>
          </c:dPt>
          <c:dPt>
            <c:idx val="3"/>
            <c:invertIfNegative val="0"/>
            <c:spPr>
              <a:solidFill>
                <a:srgbClr val="9999FF"/>
              </a:solidFill>
              <a:ln w="12700">
                <a:solidFill>
                  <a:srgbClr val="339966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2!$A$2:$A$5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mixed</c:v>
                </c:pt>
              </c:strCache>
            </c:strRef>
          </c:cat>
          <c:val>
            <c:numRef>
              <c:f>2!$B$2:$B$5</c:f>
              <c:numCache>
                <c:ptCount val="4"/>
                <c:pt idx="0">
                  <c:v>275</c:v>
                </c:pt>
                <c:pt idx="1">
                  <c:v>48</c:v>
                </c:pt>
                <c:pt idx="2">
                  <c:v>38</c:v>
                </c:pt>
                <c:pt idx="3">
                  <c:v>29</c:v>
                </c:pt>
              </c:numCache>
            </c:numRef>
          </c:val>
          <c:shape val="pyramid"/>
        </c:ser>
        <c:shape val="pyramid"/>
        <c:axId val="59210390"/>
        <c:axId val="63131463"/>
      </c:bar3DChart>
      <c:catAx>
        <c:axId val="5921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131463"/>
        <c:crosses val="autoZero"/>
        <c:auto val="1"/>
        <c:lblOffset val="100"/>
        <c:tickLblSkip val="1"/>
        <c:noMultiLvlLbl val="0"/>
      </c:catAx>
      <c:valAx>
        <c:axId val="63131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0390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доля больных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65"/>
          <c:w val="0.9792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2!$E$2:$E$5</c:f>
                <c:numCache>
                  <c:ptCount val="4"/>
                  <c:pt idx="0">
                    <c:v>0.0448</c:v>
                  </c:pt>
                  <c:pt idx="1">
                    <c:v>0.0368</c:v>
                  </c:pt>
                  <c:pt idx="2">
                    <c:v>0.0338</c:v>
                  </c:pt>
                  <c:pt idx="3">
                    <c:v>0.0307</c:v>
                  </c:pt>
                </c:numCache>
              </c:numRef>
            </c:plus>
            <c:minus>
              <c:numRef>
                <c:f>2!$D$2:$D$5</c:f>
                <c:numCache>
                  <c:ptCount val="4"/>
                  <c:pt idx="0">
                    <c:v>0.0479</c:v>
                  </c:pt>
                  <c:pt idx="1">
                    <c:v>0.0309</c:v>
                  </c:pt>
                  <c:pt idx="2">
                    <c:v>0.0276</c:v>
                  </c:pt>
                  <c:pt idx="3">
                    <c:v>0.024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2!$A$2:$A$5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mixed</c:v>
                </c:pt>
              </c:strCache>
            </c:strRef>
          </c:cat>
          <c:val>
            <c:numRef>
              <c:f>2!$C$2:$C$5</c:f>
              <c:numCache>
                <c:ptCount val="4"/>
                <c:pt idx="0">
                  <c:v>0.7051282051282052</c:v>
                </c:pt>
                <c:pt idx="1">
                  <c:v>0.12307692307692308</c:v>
                </c:pt>
                <c:pt idx="2">
                  <c:v>0.09743589743589744</c:v>
                </c:pt>
                <c:pt idx="3">
                  <c:v>0.07435897435897436</c:v>
                </c:pt>
              </c:numCache>
            </c:numRef>
          </c:val>
        </c:ser>
        <c:axId val="31312256"/>
        <c:axId val="13374849"/>
      </c:barChart>
      <c:catAx>
        <c:axId val="3131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4849"/>
        <c:crosses val="autoZero"/>
        <c:auto val="1"/>
        <c:lblOffset val="100"/>
        <c:tickLblSkip val="1"/>
        <c:noMultiLvlLbl val="0"/>
      </c:catAx>
      <c:valAx>
        <c:axId val="13374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1225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летальность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65"/>
          <c:w val="0.9792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(3!$B$5:$B$8,3!$A$9)</c:f>
              <c:strCache>
                <c:ptCount val="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Total</c:v>
                </c:pt>
              </c:strCache>
            </c:strRef>
          </c:cat>
          <c:val>
            <c:numRef>
              <c:f>3!$F$5:$F$9</c:f>
              <c:numCache>
                <c:ptCount val="5"/>
                <c:pt idx="0">
                  <c:v>0.9885057471264368</c:v>
                </c:pt>
                <c:pt idx="1">
                  <c:v>0.8778135048231511</c:v>
                </c:pt>
                <c:pt idx="2">
                  <c:v>0.8941684665226782</c:v>
                </c:pt>
                <c:pt idx="3">
                  <c:v>0.8596491228070176</c:v>
                </c:pt>
                <c:pt idx="4">
                  <c:v>0.8914728682170543</c:v>
                </c:pt>
              </c:numCache>
            </c:numRef>
          </c:val>
        </c:ser>
        <c:axId val="53264778"/>
        <c:axId val="9620955"/>
      </c:barChart>
      <c:catAx>
        <c:axId val="53264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0955"/>
        <c:crosses val="autoZero"/>
        <c:auto val="1"/>
        <c:lblOffset val="100"/>
        <c:tickLblSkip val="1"/>
        <c:noMultiLvlLbl val="0"/>
      </c:catAx>
      <c:valAx>
        <c:axId val="9620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распределение по числу лейкоцитов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65"/>
          <c:w val="0.8262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3!$G$1</c:f>
              <c:strCache>
                <c:ptCount val="1"/>
                <c:pt idx="0">
                  <c:v>доля для выживших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3!$B$5:$B$8</c:f>
              <c:numCache>
                <c:ptCount val="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</c:numCache>
            </c:numRef>
          </c:cat>
          <c:val>
            <c:numRef>
              <c:f>3!$G$5:$G$8</c:f>
              <c:numCache>
                <c:ptCount val="4"/>
                <c:pt idx="0">
                  <c:v>0.008928571428571428</c:v>
                </c:pt>
                <c:pt idx="1">
                  <c:v>0.3392857142857143</c:v>
                </c:pt>
                <c:pt idx="2">
                  <c:v>0.4375</c:v>
                </c:pt>
                <c:pt idx="3">
                  <c:v>0.21428571428571427</c:v>
                </c:pt>
              </c:numCache>
            </c:numRef>
          </c:val>
        </c:ser>
        <c:ser>
          <c:idx val="1"/>
          <c:order val="1"/>
          <c:tx>
            <c:strRef>
              <c:f>3!$H$1</c:f>
              <c:strCache>
                <c:ptCount val="1"/>
                <c:pt idx="0">
                  <c:v>доля для умерших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3!$B$5:$B$8</c:f>
              <c:numCache>
                <c:ptCount val="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</c:numCache>
            </c:numRef>
          </c:cat>
          <c:val>
            <c:numRef>
              <c:f>3!$H$5:$H$8</c:f>
              <c:numCache>
                <c:ptCount val="4"/>
                <c:pt idx="0">
                  <c:v>0.09347826086956522</c:v>
                </c:pt>
                <c:pt idx="1">
                  <c:v>0.2967391304347826</c:v>
                </c:pt>
                <c:pt idx="2">
                  <c:v>0.45</c:v>
                </c:pt>
                <c:pt idx="3">
                  <c:v>0.15978260869565217</c:v>
                </c:pt>
              </c:numCache>
            </c:numRef>
          </c:val>
        </c:ser>
        <c:axId val="19479732"/>
        <c:axId val="41099861"/>
      </c:barChart>
      <c:catAx>
        <c:axId val="1947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9861"/>
        <c:crosses val="autoZero"/>
        <c:auto val="1"/>
        <c:lblOffset val="100"/>
        <c:tickLblSkip val="1"/>
        <c:noMultiLvlLbl val="0"/>
      </c:catAx>
      <c:valAx>
        <c:axId val="41099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79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49075"/>
          <c:w val="0.14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25"/>
          <c:w val="0.97925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7!$B$3:$B$53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7!$C$3:$C$53</c:f>
              <c:numCache>
                <c:ptCount val="51"/>
                <c:pt idx="0">
                  <c:v>3.749262534817035E-24</c:v>
                </c:pt>
                <c:pt idx="1">
                  <c:v>3.638990107322408E-22</c:v>
                </c:pt>
                <c:pt idx="2">
                  <c:v>1.7306608833942237E-20</c:v>
                </c:pt>
                <c:pt idx="3">
                  <c:v>5.375229096659694E-19</c:v>
                </c:pt>
                <c:pt idx="4">
                  <c:v>1.2260265189587009E-17</c:v>
                </c:pt>
                <c:pt idx="5">
                  <c:v>2.189539124446255E-16</c:v>
                </c:pt>
                <c:pt idx="6">
                  <c:v>3.187711372355569E-15</c:v>
                </c:pt>
                <c:pt idx="7">
                  <c:v>3.8895436240842653E-14</c:v>
                </c:pt>
                <c:pt idx="8">
                  <c:v>4.0582811783644103E-13</c:v>
                </c:pt>
                <c:pt idx="9">
                  <c:v>3.676325302753635E-12</c:v>
                </c:pt>
                <c:pt idx="10">
                  <c:v>2.925922432132737E-11</c:v>
                </c:pt>
                <c:pt idx="11">
                  <c:v>2.0653570109172354E-10</c:v>
                </c:pt>
                <c:pt idx="12">
                  <c:v>1.302997290711018E-09</c:v>
                </c:pt>
                <c:pt idx="13">
                  <c:v>7.3934778396000556E-09</c:v>
                </c:pt>
                <c:pt idx="14">
                  <c:v>3.793040521912485E-08</c:v>
                </c:pt>
                <c:pt idx="15">
                  <c:v>1.767110643149813E-07</c:v>
                </c:pt>
                <c:pt idx="16">
                  <c:v>7.503723503080989E-07</c:v>
                </c:pt>
                <c:pt idx="17">
                  <c:v>2.9132103011961626E-06</c:v>
                </c:pt>
                <c:pt idx="18">
                  <c:v>1.0367601366021617E-05</c:v>
                </c:pt>
                <c:pt idx="19">
                  <c:v>3.389531592111082E-05</c:v>
                </c:pt>
                <c:pt idx="20">
                  <c:v>0.00010198502408028386</c:v>
                </c:pt>
                <c:pt idx="21">
                  <c:v>0.0002828156129957448</c:v>
                </c:pt>
                <c:pt idx="22">
                  <c:v>0.0007236752450185233</c:v>
                </c:pt>
                <c:pt idx="23">
                  <c:v>0.0017101686097112918</c:v>
                </c:pt>
                <c:pt idx="24">
                  <c:v>0.0037347064491489255</c:v>
                </c:pt>
                <c:pt idx="25">
                  <c:v>0.007539713254987725</c:v>
                </c:pt>
                <c:pt idx="26">
                  <c:v>0.014072994197658097</c:v>
                </c:pt>
                <c:pt idx="27">
                  <c:v>0.02428281351752766</c:v>
                </c:pt>
                <c:pt idx="28">
                  <c:v>0.03871986441135187</c:v>
                </c:pt>
                <c:pt idx="29">
                  <c:v>0.057019516354242454</c:v>
                </c:pt>
                <c:pt idx="30">
                  <c:v>0.07747946045782331</c:v>
                </c:pt>
                <c:pt idx="31">
                  <c:v>0.0970331003836119</c:v>
                </c:pt>
                <c:pt idx="32">
                  <c:v>0.11183778297890577</c:v>
                </c:pt>
                <c:pt idx="33">
                  <c:v>0.11841647609531154</c:v>
                </c:pt>
                <c:pt idx="34">
                  <c:v>0.11493363856309675</c:v>
                </c:pt>
                <c:pt idx="35">
                  <c:v>0.10199153136355482</c:v>
                </c:pt>
                <c:pt idx="36">
                  <c:v>0.08249315036758112</c:v>
                </c:pt>
                <c:pt idx="37">
                  <c:v>0.060591153370146915</c:v>
                </c:pt>
                <c:pt idx="38">
                  <c:v>0.04023777832166114</c:v>
                </c:pt>
                <c:pt idx="39">
                  <c:v>0.02403342415592425</c:v>
                </c:pt>
                <c:pt idx="40">
                  <c:v>0.012829607306765432</c:v>
                </c:pt>
                <c:pt idx="41">
                  <c:v>0.006074276056287818</c:v>
                </c:pt>
                <c:pt idx="42">
                  <c:v>0.002526694662069298</c:v>
                </c:pt>
                <c:pt idx="43">
                  <c:v>0.0009125135304874069</c:v>
                </c:pt>
                <c:pt idx="44">
                  <c:v>0.00028180564912111086</c:v>
                </c:pt>
                <c:pt idx="45">
                  <c:v>7.293793271369943E-05</c:v>
                </c:pt>
                <c:pt idx="46">
                  <c:v>1.538971726056317E-05</c:v>
                </c:pt>
                <c:pt idx="47">
                  <c:v>2.5424814498051787E-06</c:v>
                </c:pt>
                <c:pt idx="48">
                  <c:v>3.0846282295430445E-07</c:v>
                </c:pt>
                <c:pt idx="49">
                  <c:v>2.4440031590617137E-08</c:v>
                </c:pt>
                <c:pt idx="50">
                  <c:v>9.488482852827858E-10</c:v>
                </c:pt>
              </c:numCache>
            </c:numRef>
          </c:val>
        </c:ser>
        <c:axId val="34354430"/>
        <c:axId val="40754415"/>
      </c:barChart>
      <c:catAx>
        <c:axId val="34354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54415"/>
        <c:crosses val="autoZero"/>
        <c:auto val="1"/>
        <c:lblOffset val="100"/>
        <c:tickLblSkip val="2"/>
        <c:noMultiLvlLbl val="0"/>
      </c:catAx>
      <c:valAx>
        <c:axId val="40754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44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доля отмаз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475"/>
          <c:w val="0.842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v>ожидаемая доля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9!$A$2:$A$6</c:f>
              <c:strCache>
                <c:ptCount val="5"/>
                <c:pt idx="0">
                  <c:v>терапевт</c:v>
                </c:pt>
                <c:pt idx="1">
                  <c:v>хирург</c:v>
                </c:pt>
                <c:pt idx="2">
                  <c:v>окулист</c:v>
                </c:pt>
                <c:pt idx="3">
                  <c:v>психиатр</c:v>
                </c:pt>
                <c:pt idx="4">
                  <c:v>иные</c:v>
                </c:pt>
              </c:strCache>
            </c:strRef>
          </c:cat>
          <c:val>
            <c:numRef>
              <c:f>9!$C$2:$C$6</c:f>
              <c:numCache>
                <c:ptCount val="5"/>
                <c:pt idx="0">
                  <c:v>0.2</c:v>
                </c:pt>
                <c:pt idx="1">
                  <c:v>0.25</c:v>
                </c:pt>
                <c:pt idx="2">
                  <c:v>0.2</c:v>
                </c:pt>
                <c:pt idx="3">
                  <c:v>0.1</c:v>
                </c:pt>
                <c:pt idx="4">
                  <c:v>0.25</c:v>
                </c:pt>
              </c:numCache>
            </c:numRef>
          </c:val>
        </c:ser>
        <c:ser>
          <c:idx val="1"/>
          <c:order val="1"/>
          <c:tx>
            <c:v>фактическая доля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9!$K$2:$K$6</c:f>
                <c:numCache>
                  <c:ptCount val="5"/>
                  <c:pt idx="0">
                    <c:v>0.026635514018691568</c:v>
                  </c:pt>
                  <c:pt idx="1">
                    <c:v>0.029205607476635514</c:v>
                  </c:pt>
                  <c:pt idx="2">
                    <c:v>0.026635514018691568</c:v>
                  </c:pt>
                  <c:pt idx="3">
                    <c:v>0.020327102803738308</c:v>
                  </c:pt>
                  <c:pt idx="4">
                    <c:v>0.029205607476635514</c:v>
                  </c:pt>
                </c:numCache>
              </c:numRef>
            </c:plus>
            <c:minus>
              <c:numRef>
                <c:f>9!$J$2:$J$6</c:f>
                <c:numCache>
                  <c:ptCount val="5"/>
                  <c:pt idx="0">
                    <c:v>0.025934579439252356</c:v>
                  </c:pt>
                  <c:pt idx="1">
                    <c:v>0.029205607476635514</c:v>
                  </c:pt>
                  <c:pt idx="2">
                    <c:v>0.025934579439252356</c:v>
                  </c:pt>
                  <c:pt idx="3">
                    <c:v>0.019392523364485992</c:v>
                  </c:pt>
                  <c:pt idx="4">
                    <c:v>0.029205607476635514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9!$A$2:$A$6</c:f>
              <c:strCache>
                <c:ptCount val="5"/>
                <c:pt idx="0">
                  <c:v>терапевт</c:v>
                </c:pt>
                <c:pt idx="1">
                  <c:v>хирург</c:v>
                </c:pt>
                <c:pt idx="2">
                  <c:v>окулист</c:v>
                </c:pt>
                <c:pt idx="3">
                  <c:v>психиатр</c:v>
                </c:pt>
                <c:pt idx="4">
                  <c:v>иные</c:v>
                </c:pt>
              </c:strCache>
            </c:strRef>
          </c:cat>
          <c:val>
            <c:numRef>
              <c:f>9!$D$2:$D$6</c:f>
              <c:numCache>
                <c:ptCount val="5"/>
                <c:pt idx="0">
                  <c:v>0.17289719626168223</c:v>
                </c:pt>
                <c:pt idx="1">
                  <c:v>0.25116822429906543</c:v>
                </c:pt>
                <c:pt idx="2">
                  <c:v>0.22780373831775702</c:v>
                </c:pt>
                <c:pt idx="3">
                  <c:v>0.11565420560747663</c:v>
                </c:pt>
                <c:pt idx="4">
                  <c:v>0.2324766355140187</c:v>
                </c:pt>
              </c:numCache>
            </c:numRef>
          </c:val>
        </c:ser>
        <c:axId val="31245416"/>
        <c:axId val="12773289"/>
      </c:barChart>
      <c:catAx>
        <c:axId val="3124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3289"/>
        <c:crosses val="autoZero"/>
        <c:auto val="1"/>
        <c:lblOffset val="100"/>
        <c:tickLblSkip val="1"/>
        <c:noMultiLvlLbl val="0"/>
      </c:catAx>
      <c:valAx>
        <c:axId val="12773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541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10475"/>
          <c:w val="0.16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25"/>
          <c:w val="0.97925"/>
          <c:h val="0.9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'11'!$E$1</c:f>
              <c:strCache>
                <c:ptCount val="1"/>
                <c:pt idx="0">
                  <c:v>доля осложнений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0.07366410251947687</c:v>
                </c:pt>
                <c:pt idx="1">
                  <c:v>0.06602616226660174</c:v>
                </c:pt>
                <c:pt idx="2">
                  <c:v>0.04220615285703471</c:v>
                </c:pt>
                <c:pt idx="3">
                  <c:v>0.0384366039933808</c:v>
                </c:pt>
                <c:pt idx="4">
                  <c:v>0.03702637333538371</c:v>
                </c:pt>
                <c:pt idx="5">
                  <c:v>0.034047299558486885</c:v>
                </c:pt>
              </c:numLit>
            </c:plus>
            <c:minus>
              <c:numLit>
                <c:ptCount val="6"/>
                <c:pt idx="0">
                  <c:v>0.07366410251947687</c:v>
                </c:pt>
                <c:pt idx="1">
                  <c:v>0.06602616226660174</c:v>
                </c:pt>
                <c:pt idx="2">
                  <c:v>0.04220615285703471</c:v>
                </c:pt>
                <c:pt idx="3">
                  <c:v>0.0384366039933808</c:v>
                </c:pt>
                <c:pt idx="4">
                  <c:v>0.03702637333538371</c:v>
                </c:pt>
                <c:pt idx="5">
                  <c:v>0.034047299558486885</c:v>
                </c:pt>
              </c:numLit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'11'!$E$2:$E$7</c:f>
              <c:numCache>
                <c:ptCount val="6"/>
                <c:pt idx="0">
                  <c:v>0.2714285714285714</c:v>
                </c:pt>
                <c:pt idx="1">
                  <c:v>0.2808988764044944</c:v>
                </c:pt>
                <c:pt idx="2">
                  <c:v>0.31837606837606836</c:v>
                </c:pt>
                <c:pt idx="3">
                  <c:v>0.3118279569892473</c:v>
                </c:pt>
                <c:pt idx="4">
                  <c:v>0.31343283582089554</c:v>
                </c:pt>
                <c:pt idx="5">
                  <c:v>0.3093220338983051</c:v>
                </c:pt>
              </c:numCache>
            </c:numRef>
          </c:xVal>
          <c:yVal>
            <c:numRef>
              <c:f>'11'!$A$2:$A$7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'11'!$H$1</c:f>
              <c:strCache>
                <c:ptCount val="1"/>
                <c:pt idx="0">
                  <c:v>совокупная частота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'11'!$H$2:$H$7</c:f>
              <c:numCache>
                <c:ptCount val="6"/>
                <c:pt idx="0">
                  <c:v>0.3093220338983051</c:v>
                </c:pt>
                <c:pt idx="1">
                  <c:v>0.3093220338983051</c:v>
                </c:pt>
                <c:pt idx="2">
                  <c:v>0.3093220338983051</c:v>
                </c:pt>
                <c:pt idx="3">
                  <c:v>0.3093220338983051</c:v>
                </c:pt>
                <c:pt idx="4">
                  <c:v>0.3093220338983051</c:v>
                </c:pt>
                <c:pt idx="5">
                  <c:v>0.3093220338983051</c:v>
                </c:pt>
              </c:numCache>
            </c:numRef>
          </c:xVal>
          <c:yVal>
            <c:numRef>
              <c:f>'11'!$A$2:$A$7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0"/>
        </c:ser>
        <c:axId val="47850738"/>
        <c:axId val="28003459"/>
      </c:scatterChart>
      <c:valAx>
        <c:axId val="4785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3459"/>
        <c:crosses val="autoZero"/>
        <c:crossBetween val="midCat"/>
        <c:dispUnits/>
      </c:valAx>
      <c:valAx>
        <c:axId val="28003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507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доля осложнений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65"/>
          <c:w val="0.86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'12'!$I$2</c:f>
              <c:strCache>
                <c:ptCount val="1"/>
                <c:pt idx="0">
                  <c:v>старый метод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'12'!$L$3:$L$8</c:f>
                <c:numCache>
                  <c:ptCount val="6"/>
                  <c:pt idx="0">
                    <c:v>0.03693328568273423</c:v>
                  </c:pt>
                  <c:pt idx="1">
                    <c:v>0.04457129120857954</c:v>
                  </c:pt>
                  <c:pt idx="2">
                    <c:v>0.05113727797238944</c:v>
                  </c:pt>
                  <c:pt idx="3">
                    <c:v>0.02206650138105268</c:v>
                  </c:pt>
                  <c:pt idx="4">
                    <c:v>0.03310180852106883</c:v>
                  </c:pt>
                  <c:pt idx="5">
                    <c:v>0.09655087715441375</c:v>
                  </c:pt>
                </c:numCache>
              </c:numRef>
            </c:plus>
            <c:minus>
              <c:numRef>
                <c:f>'12'!$L$3:$L$8</c:f>
                <c:numCache>
                  <c:ptCount val="6"/>
                  <c:pt idx="0">
                    <c:v>0.03693328568273423</c:v>
                  </c:pt>
                  <c:pt idx="1">
                    <c:v>0.04457129120857954</c:v>
                  </c:pt>
                  <c:pt idx="2">
                    <c:v>0.05113727797238944</c:v>
                  </c:pt>
                  <c:pt idx="3">
                    <c:v>0.02206650138105268</c:v>
                  </c:pt>
                  <c:pt idx="4">
                    <c:v>0.03310180852106883</c:v>
                  </c:pt>
                  <c:pt idx="5">
                    <c:v>0.09655087715441375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'12'!$B$3:$B$8</c:f>
              <c:strCache>
                <c:ptCount val="6"/>
                <c:pt idx="0">
                  <c:v>№57</c:v>
                </c:pt>
                <c:pt idx="1">
                  <c:v>Василенко</c:v>
                </c:pt>
                <c:pt idx="2">
                  <c:v>№2</c:v>
                </c:pt>
                <c:pt idx="3">
                  <c:v>Бурденко</c:v>
                </c:pt>
                <c:pt idx="4">
                  <c:v>Склифа</c:v>
                </c:pt>
                <c:pt idx="5">
                  <c:v>ЦКБ</c:v>
                </c:pt>
              </c:strCache>
            </c:strRef>
          </c:cat>
          <c:val>
            <c:numRef>
              <c:f>'12'!$I$3:$I$8</c:f>
              <c:numCache>
                <c:ptCount val="6"/>
                <c:pt idx="0">
                  <c:v>0.10740740740740741</c:v>
                </c:pt>
                <c:pt idx="1">
                  <c:v>0.07857142857142857</c:v>
                </c:pt>
                <c:pt idx="2">
                  <c:v>0.15263157894736842</c:v>
                </c:pt>
                <c:pt idx="3">
                  <c:v>0.068</c:v>
                </c:pt>
                <c:pt idx="4">
                  <c:v>0.12368421052631579</c:v>
                </c:pt>
                <c:pt idx="5">
                  <c:v>0.32222222222222224</c:v>
                </c:pt>
              </c:numCache>
            </c:numRef>
          </c:val>
        </c:ser>
        <c:ser>
          <c:idx val="1"/>
          <c:order val="1"/>
          <c:tx>
            <c:strRef>
              <c:f>'12'!$J$2</c:f>
              <c:strCache>
                <c:ptCount val="1"/>
                <c:pt idx="0">
                  <c:v>новый метод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'12'!$M$3:$M$8</c:f>
                <c:numCache>
                  <c:ptCount val="6"/>
                  <c:pt idx="0">
                    <c:v>0.0471266909510948</c:v>
                  </c:pt>
                  <c:pt idx="1">
                    <c:v>0.030008503678337118</c:v>
                  </c:pt>
                  <c:pt idx="2">
                    <c:v>0.055843841172326346</c:v>
                  </c:pt>
                  <c:pt idx="3">
                    <c:v>0.017582412667208103</c:v>
                  </c:pt>
                  <c:pt idx="4">
                    <c:v>0.05204078627175628</c:v>
                  </c:pt>
                  <c:pt idx="5">
                    <c:v>0.12941010393319372</c:v>
                  </c:pt>
                </c:numCache>
              </c:numRef>
            </c:plus>
            <c:minus>
              <c:numRef>
                <c:f>'12'!$M$3:$M$8</c:f>
                <c:numCache>
                  <c:ptCount val="6"/>
                  <c:pt idx="0">
                    <c:v>0.0471266909510948</c:v>
                  </c:pt>
                  <c:pt idx="1">
                    <c:v>0.030008503678337118</c:v>
                  </c:pt>
                  <c:pt idx="2">
                    <c:v>0.055843841172326346</c:v>
                  </c:pt>
                  <c:pt idx="3">
                    <c:v>0.017582412667208103</c:v>
                  </c:pt>
                  <c:pt idx="4">
                    <c:v>0.05204078627175628</c:v>
                  </c:pt>
                  <c:pt idx="5">
                    <c:v>0.12941010393319372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'12'!$B$3:$B$8</c:f>
              <c:strCache>
                <c:ptCount val="6"/>
                <c:pt idx="0">
                  <c:v>№57</c:v>
                </c:pt>
                <c:pt idx="1">
                  <c:v>Василенко</c:v>
                </c:pt>
                <c:pt idx="2">
                  <c:v>№2</c:v>
                </c:pt>
                <c:pt idx="3">
                  <c:v>Бурденко</c:v>
                </c:pt>
                <c:pt idx="4">
                  <c:v>Склифа</c:v>
                </c:pt>
                <c:pt idx="5">
                  <c:v>ЦКБ</c:v>
                </c:pt>
              </c:strCache>
            </c:strRef>
          </c:cat>
          <c:val>
            <c:numRef>
              <c:f>'12'!$J$3:$J$8</c:f>
              <c:numCache>
                <c:ptCount val="6"/>
                <c:pt idx="0">
                  <c:v>0.075</c:v>
                </c:pt>
                <c:pt idx="1">
                  <c:v>0.05454545454545454</c:v>
                </c:pt>
                <c:pt idx="2">
                  <c:v>0.08421052631578947</c:v>
                </c:pt>
                <c:pt idx="3">
                  <c:v>0.042</c:v>
                </c:pt>
                <c:pt idx="4">
                  <c:v>0.09243697478991597</c:v>
                </c:pt>
                <c:pt idx="5">
                  <c:v>0.225</c:v>
                </c:pt>
              </c:numCache>
            </c:numRef>
          </c:val>
        </c:ser>
        <c:axId val="50704540"/>
        <c:axId val="53687677"/>
      </c:bar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87677"/>
        <c:crosses val="autoZero"/>
        <c:auto val="1"/>
        <c:lblOffset val="100"/>
        <c:tickLblSkip val="1"/>
        <c:noMultiLvlLbl val="0"/>
      </c:catAx>
      <c:valAx>
        <c:axId val="53687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5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2"/>
          <c:y val="0.021"/>
          <c:w val="0.106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4">
      <selection activeCell="B34" sqref="B34"/>
    </sheetView>
  </sheetViews>
  <sheetFormatPr defaultColWidth="9.00390625" defaultRowHeight="12.75"/>
  <cols>
    <col min="1" max="1" width="6.75390625" style="0" customWidth="1"/>
    <col min="2" max="2" width="89.125" style="0" customWidth="1"/>
    <col min="3" max="3" width="79.625" style="0" bestFit="1" customWidth="1"/>
  </cols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5" spans="1:2" ht="12.75">
      <c r="A5">
        <v>1</v>
      </c>
      <c r="B5" t="s">
        <v>0</v>
      </c>
    </row>
    <row r="6" spans="1:2" ht="12.75">
      <c r="A6">
        <v>2</v>
      </c>
      <c r="B6" t="s">
        <v>34</v>
      </c>
    </row>
    <row r="7" spans="1:2" ht="12.75">
      <c r="A7">
        <v>3</v>
      </c>
      <c r="B7" t="s">
        <v>35</v>
      </c>
    </row>
    <row r="8" spans="1:3" ht="12.75">
      <c r="A8">
        <v>4</v>
      </c>
      <c r="B8" t="s">
        <v>50</v>
      </c>
      <c r="C8" t="s">
        <v>51</v>
      </c>
    </row>
    <row r="9" spans="1:2" ht="12.75">
      <c r="A9">
        <v>5</v>
      </c>
      <c r="B9" t="s">
        <v>60</v>
      </c>
    </row>
    <row r="10" spans="1:2" ht="12.75">
      <c r="A10">
        <v>6</v>
      </c>
      <c r="B10" t="s">
        <v>69</v>
      </c>
    </row>
    <row r="11" spans="1:3" ht="12.75">
      <c r="A11">
        <v>7</v>
      </c>
      <c r="B11" t="s">
        <v>76</v>
      </c>
      <c r="C11" t="s">
        <v>77</v>
      </c>
    </row>
    <row r="12" spans="1:3" ht="12.75">
      <c r="A12">
        <v>8</v>
      </c>
      <c r="B12" t="s">
        <v>84</v>
      </c>
      <c r="C12" t="s">
        <v>85</v>
      </c>
    </row>
    <row r="13" spans="1:3" ht="12.75">
      <c r="A13">
        <v>9</v>
      </c>
      <c r="B13" t="s">
        <v>101</v>
      </c>
      <c r="C13" t="s">
        <v>102</v>
      </c>
    </row>
    <row r="14" spans="1:2" ht="12.75">
      <c r="A14">
        <v>10</v>
      </c>
      <c r="B14" t="s">
        <v>112</v>
      </c>
    </row>
    <row r="15" spans="1:3" ht="12.75">
      <c r="A15">
        <v>11</v>
      </c>
      <c r="B15" t="s">
        <v>128</v>
      </c>
      <c r="C15" t="s">
        <v>129</v>
      </c>
    </row>
    <row r="16" spans="1:2" ht="12.75">
      <c r="A16">
        <v>12</v>
      </c>
      <c r="B16" t="s">
        <v>137</v>
      </c>
    </row>
    <row r="17" spans="1:2" ht="12.75">
      <c r="A17">
        <v>13</v>
      </c>
      <c r="B17" t="s">
        <v>144</v>
      </c>
    </row>
    <row r="18" spans="1:2" ht="12.75">
      <c r="A18">
        <v>14</v>
      </c>
      <c r="B18" t="s">
        <v>154</v>
      </c>
    </row>
    <row r="19" spans="1:2" ht="12.75">
      <c r="A19">
        <v>15</v>
      </c>
      <c r="B19" t="s">
        <v>162</v>
      </c>
    </row>
    <row r="20" spans="1:3" ht="12.75">
      <c r="A20">
        <v>16</v>
      </c>
      <c r="B20" t="s">
        <v>166</v>
      </c>
      <c r="C20" t="s">
        <v>167</v>
      </c>
    </row>
    <row r="21" spans="1:3" ht="12.75">
      <c r="A21">
        <v>17</v>
      </c>
      <c r="B21" t="s">
        <v>172</v>
      </c>
      <c r="C21" t="s">
        <v>173</v>
      </c>
    </row>
    <row r="22" spans="1:3" ht="12.75">
      <c r="A22">
        <v>18</v>
      </c>
      <c r="B22" t="s">
        <v>178</v>
      </c>
      <c r="C22" t="s">
        <v>173</v>
      </c>
    </row>
    <row r="23" spans="1:2" ht="12.75">
      <c r="A23">
        <v>19</v>
      </c>
      <c r="B23" t="s">
        <v>184</v>
      </c>
    </row>
    <row r="24" spans="1:3" ht="12.75">
      <c r="A24">
        <v>20</v>
      </c>
      <c r="B24" t="s">
        <v>196</v>
      </c>
      <c r="C24" t="s">
        <v>197</v>
      </c>
    </row>
    <row r="25" spans="1:3" ht="12.75">
      <c r="A25">
        <v>21</v>
      </c>
      <c r="B25" t="s">
        <v>199</v>
      </c>
      <c r="C25" t="s">
        <v>200</v>
      </c>
    </row>
    <row r="26" spans="1:2" ht="12.75">
      <c r="A26">
        <v>22</v>
      </c>
      <c r="B26" t="s">
        <v>201</v>
      </c>
    </row>
    <row r="27" spans="1:2" ht="12.75">
      <c r="A27">
        <v>23</v>
      </c>
      <c r="B27" t="s">
        <v>207</v>
      </c>
    </row>
    <row r="28" spans="1:2" ht="12.75">
      <c r="A28">
        <v>24</v>
      </c>
      <c r="B28" t="s">
        <v>214</v>
      </c>
    </row>
    <row r="29" spans="1:2" ht="12.75">
      <c r="A29">
        <v>25</v>
      </c>
      <c r="B29" t="s">
        <v>218</v>
      </c>
    </row>
    <row r="30" spans="1:2" ht="12.75">
      <c r="A30">
        <v>26</v>
      </c>
      <c r="B30" t="s">
        <v>228</v>
      </c>
    </row>
    <row r="31" spans="1:2" ht="12.75">
      <c r="A31">
        <v>27</v>
      </c>
      <c r="B31" t="s">
        <v>231</v>
      </c>
    </row>
    <row r="32" spans="1:2" ht="12.75">
      <c r="A32">
        <v>28</v>
      </c>
      <c r="B32" t="s">
        <v>255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12.875" style="0" customWidth="1"/>
    <col min="2" max="2" width="12.375" style="0" customWidth="1"/>
    <col min="3" max="3" width="8.375" style="0" customWidth="1"/>
    <col min="4" max="4" width="7.75390625" style="0" customWidth="1"/>
    <col min="5" max="5" width="8.375" style="0" customWidth="1"/>
  </cols>
  <sheetData>
    <row r="1" spans="1:11" ht="12.75">
      <c r="A1" t="s">
        <v>87</v>
      </c>
      <c r="B1" t="s">
        <v>81</v>
      </c>
      <c r="C1" t="s">
        <v>93</v>
      </c>
      <c r="D1" t="s">
        <v>94</v>
      </c>
      <c r="E1" t="s">
        <v>82</v>
      </c>
      <c r="F1" t="s">
        <v>83</v>
      </c>
      <c r="G1" t="s">
        <v>95</v>
      </c>
      <c r="H1" t="s">
        <v>97</v>
      </c>
      <c r="I1" t="s">
        <v>98</v>
      </c>
      <c r="J1" t="s">
        <v>99</v>
      </c>
      <c r="K1" t="s">
        <v>100</v>
      </c>
    </row>
    <row r="2" spans="1:11" ht="12.75">
      <c r="A2" t="s">
        <v>88</v>
      </c>
      <c r="B2" s="1">
        <v>148</v>
      </c>
      <c r="C2" s="7">
        <v>0.2</v>
      </c>
      <c r="D2" s="2">
        <f>B2/$B$7</f>
        <v>0.17289719626168223</v>
      </c>
      <c r="E2">
        <f>$B$7*C2</f>
        <v>171.20000000000002</v>
      </c>
      <c r="F2">
        <f>(E2-B2)*(E2-B2)/E2</f>
        <v>3.143925233644864</v>
      </c>
      <c r="G2" s="6">
        <f>1-C2</f>
        <v>0.8</v>
      </c>
      <c r="H2">
        <f>CRITBINOM($B$7,C2,$B$11/2)</f>
        <v>149</v>
      </c>
      <c r="I2">
        <f>CRITBINOM($B$7,C2,1-$B$11/2)</f>
        <v>194</v>
      </c>
      <c r="J2">
        <f>(E2-H2)/$B$7</f>
        <v>0.025934579439252356</v>
      </c>
      <c r="K2">
        <f>(I2-E2)/$B$7</f>
        <v>0.026635514018691568</v>
      </c>
    </row>
    <row r="3" spans="1:11" ht="12.75">
      <c r="A3" t="s">
        <v>89</v>
      </c>
      <c r="B3" s="1">
        <v>215</v>
      </c>
      <c r="C3" s="7">
        <v>0.25</v>
      </c>
      <c r="D3" s="2">
        <f>B3/$B$7</f>
        <v>0.25116822429906543</v>
      </c>
      <c r="E3">
        <f>$B$7*C3</f>
        <v>214</v>
      </c>
      <c r="F3">
        <f>(E3-B3)*(E3-B3)/E3</f>
        <v>0.004672897196261682</v>
      </c>
      <c r="G3" s="6">
        <f>1-C3</f>
        <v>0.75</v>
      </c>
      <c r="H3">
        <f>CRITBINOM($B$7,C3,$B$11/2)</f>
        <v>189</v>
      </c>
      <c r="I3">
        <f>CRITBINOM($B$7,C3,1-$B$11/2)</f>
        <v>239</v>
      </c>
      <c r="J3">
        <f>(E3-H3)/$B$7</f>
        <v>0.029205607476635514</v>
      </c>
      <c r="K3">
        <f>(I3-E3)/$B$7</f>
        <v>0.029205607476635514</v>
      </c>
    </row>
    <row r="4" spans="1:11" ht="12.75">
      <c r="A4" t="s">
        <v>90</v>
      </c>
      <c r="B4" s="1">
        <v>195</v>
      </c>
      <c r="C4" s="7">
        <v>0.2</v>
      </c>
      <c r="D4" s="2">
        <f>B4/$B$7</f>
        <v>0.22780373831775702</v>
      </c>
      <c r="E4">
        <f>$B$7*C4</f>
        <v>171.20000000000002</v>
      </c>
      <c r="F4">
        <f>(E4-B4)*(E4-B4)/E4</f>
        <v>3.3086448598130787</v>
      </c>
      <c r="G4" s="6">
        <f>1-C4</f>
        <v>0.8</v>
      </c>
      <c r="H4">
        <f>CRITBINOM($B$7,C4,$B$11/2)</f>
        <v>149</v>
      </c>
      <c r="I4">
        <f>CRITBINOM($B$7,C4,1-$B$11/2)</f>
        <v>194</v>
      </c>
      <c r="J4">
        <f>(E4-H4)/$B$7</f>
        <v>0.025934579439252356</v>
      </c>
      <c r="K4">
        <f>(I4-E4)/$B$7</f>
        <v>0.026635514018691568</v>
      </c>
    </row>
    <row r="5" spans="1:11" ht="12.75">
      <c r="A5" t="s">
        <v>91</v>
      </c>
      <c r="B5" s="1">
        <v>99</v>
      </c>
      <c r="C5" s="7">
        <v>0.1</v>
      </c>
      <c r="D5" s="2">
        <f>B5/$B$7</f>
        <v>0.11565420560747663</v>
      </c>
      <c r="E5">
        <f>$B$7*C5</f>
        <v>85.60000000000001</v>
      </c>
      <c r="F5">
        <f>(E5-B5)*(E5-B5)/E5</f>
        <v>2.0976635514018662</v>
      </c>
      <c r="G5" s="6">
        <f>1-C5</f>
        <v>0.9</v>
      </c>
      <c r="H5">
        <f>CRITBINOM($B$7,C5,$B$11/2)</f>
        <v>69</v>
      </c>
      <c r="I5">
        <f>CRITBINOM($B$7,C5,1-$B$11/2)</f>
        <v>103</v>
      </c>
      <c r="J5">
        <f>(E5-H5)/$B$7</f>
        <v>0.019392523364485992</v>
      </c>
      <c r="K5">
        <f>(I5-E5)/$B$7</f>
        <v>0.020327102803738308</v>
      </c>
    </row>
    <row r="6" spans="1:11" ht="12.75">
      <c r="A6" t="s">
        <v>92</v>
      </c>
      <c r="B6" s="1">
        <v>199</v>
      </c>
      <c r="C6" s="7">
        <v>0.25</v>
      </c>
      <c r="D6" s="2">
        <f>B6/$B$7</f>
        <v>0.2324766355140187</v>
      </c>
      <c r="E6">
        <f>$B$7*C6</f>
        <v>214</v>
      </c>
      <c r="F6">
        <f>(E6-B6)*(E6-B6)/E6</f>
        <v>1.0514018691588785</v>
      </c>
      <c r="G6" s="6">
        <f>1-C6</f>
        <v>0.75</v>
      </c>
      <c r="H6">
        <f>CRITBINOM($B$7,C6,$B$11/2)</f>
        <v>189</v>
      </c>
      <c r="I6">
        <f>CRITBINOM($B$7,C6,1-$B$11/2)</f>
        <v>239</v>
      </c>
      <c r="J6">
        <f>(E6-H6)/$B$7</f>
        <v>0.029205607476635514</v>
      </c>
      <c r="K6">
        <f>(I6-E6)/$B$7</f>
        <v>0.029205607476635514</v>
      </c>
    </row>
    <row r="7" spans="1:7" ht="12.75">
      <c r="A7" t="s">
        <v>4</v>
      </c>
      <c r="B7">
        <f>SUM(B2:B6)</f>
        <v>856</v>
      </c>
      <c r="C7" s="2">
        <f>SUM(C2:C6)</f>
        <v>1</v>
      </c>
      <c r="D7" s="2"/>
      <c r="F7">
        <f>SUM(F2:F6)</f>
        <v>9.606308411214949</v>
      </c>
      <c r="G7">
        <f>SUM(G2:G6)</f>
        <v>4</v>
      </c>
    </row>
    <row r="9" spans="1:2" ht="12.75">
      <c r="A9" t="s">
        <v>86</v>
      </c>
      <c r="B9" s="8">
        <f>CHIDIST(F7,G7)</f>
        <v>0.04760808842728173</v>
      </c>
    </row>
    <row r="11" spans="1:2" ht="12.75">
      <c r="A11" t="s">
        <v>96</v>
      </c>
      <c r="B11">
        <v>0.05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spans="1:13" ht="12.75">
      <c r="A1" t="s">
        <v>78</v>
      </c>
      <c r="B1" t="s">
        <v>106</v>
      </c>
      <c r="F1" t="s">
        <v>110</v>
      </c>
      <c r="J1" t="s">
        <v>82</v>
      </c>
      <c r="M1" t="s">
        <v>83</v>
      </c>
    </row>
    <row r="2" spans="2:15" ht="12.75">
      <c r="B2" t="s">
        <v>107</v>
      </c>
      <c r="C2" t="s">
        <v>108</v>
      </c>
      <c r="D2" t="s">
        <v>109</v>
      </c>
      <c r="E2" t="s">
        <v>4</v>
      </c>
      <c r="F2" t="s">
        <v>107</v>
      </c>
      <c r="G2" t="s">
        <v>108</v>
      </c>
      <c r="H2" t="s">
        <v>109</v>
      </c>
      <c r="I2" t="s">
        <v>4</v>
      </c>
      <c r="J2" t="s">
        <v>107</v>
      </c>
      <c r="K2" t="s">
        <v>108</v>
      </c>
      <c r="L2" t="s">
        <v>109</v>
      </c>
      <c r="M2" t="s">
        <v>107</v>
      </c>
      <c r="N2" t="s">
        <v>108</v>
      </c>
      <c r="O2" t="s">
        <v>109</v>
      </c>
    </row>
    <row r="3" spans="1:15" ht="12.75">
      <c r="A3" t="s">
        <v>103</v>
      </c>
      <c r="B3" s="1">
        <v>37</v>
      </c>
      <c r="C3" s="1">
        <v>25</v>
      </c>
      <c r="D3" s="1">
        <v>20</v>
      </c>
      <c r="E3">
        <f>SUM(B3:D3)</f>
        <v>82</v>
      </c>
      <c r="F3">
        <f aca="true" t="shared" si="0" ref="F3:G6">B3/B$6</f>
        <v>0.26618705035971224</v>
      </c>
      <c r="G3">
        <f t="shared" si="0"/>
        <v>0.32894736842105265</v>
      </c>
      <c r="H3">
        <f aca="true" t="shared" si="1" ref="H3:I6">D3/D$6</f>
        <v>0.35714285714285715</v>
      </c>
      <c r="I3">
        <f t="shared" si="1"/>
        <v>0.3025830258302583</v>
      </c>
      <c r="J3">
        <f aca="true" t="shared" si="2" ref="J3:L5">B$6*$I3</f>
        <v>42.05904059040591</v>
      </c>
      <c r="K3">
        <f t="shared" si="2"/>
        <v>22.99630996309963</v>
      </c>
      <c r="L3">
        <f t="shared" si="2"/>
        <v>16.944649446494466</v>
      </c>
      <c r="M3">
        <f aca="true" t="shared" si="3" ref="M3:O5">(J3-B3)*(J3-B3)/J3</f>
        <v>0.6085229557331551</v>
      </c>
      <c r="N3">
        <f t="shared" si="3"/>
        <v>0.1745833905707479</v>
      </c>
      <c r="O3">
        <f t="shared" si="3"/>
        <v>0.5509212234979487</v>
      </c>
    </row>
    <row r="4" spans="1:15" ht="12.75">
      <c r="A4" t="s">
        <v>104</v>
      </c>
      <c r="B4" s="1">
        <v>48</v>
      </c>
      <c r="C4" s="1">
        <v>19</v>
      </c>
      <c r="D4" s="1">
        <v>19</v>
      </c>
      <c r="E4">
        <f>SUM(B4:D4)</f>
        <v>86</v>
      </c>
      <c r="F4">
        <f t="shared" si="0"/>
        <v>0.34532374100719426</v>
      </c>
      <c r="G4">
        <f t="shared" si="0"/>
        <v>0.25</v>
      </c>
      <c r="H4">
        <f t="shared" si="1"/>
        <v>0.3392857142857143</v>
      </c>
      <c r="I4">
        <f t="shared" si="1"/>
        <v>0.3173431734317343</v>
      </c>
      <c r="J4">
        <f t="shared" si="2"/>
        <v>44.11070110701107</v>
      </c>
      <c r="K4">
        <f t="shared" si="2"/>
        <v>24.118081180811807</v>
      </c>
      <c r="L4">
        <f t="shared" si="2"/>
        <v>17.77121771217712</v>
      </c>
      <c r="M4">
        <f t="shared" si="3"/>
        <v>0.3429246305178466</v>
      </c>
      <c r="N4">
        <f t="shared" si="3"/>
        <v>1.086104436625761</v>
      </c>
      <c r="O4">
        <f t="shared" si="3"/>
        <v>0.08496355935320188</v>
      </c>
    </row>
    <row r="5" spans="1:15" ht="12.75">
      <c r="A5" t="s">
        <v>105</v>
      </c>
      <c r="B5" s="1">
        <v>54</v>
      </c>
      <c r="C5" s="1">
        <v>32</v>
      </c>
      <c r="D5" s="1">
        <v>17</v>
      </c>
      <c r="E5">
        <f>SUM(B5:D5)</f>
        <v>103</v>
      </c>
      <c r="F5">
        <f t="shared" si="0"/>
        <v>0.38848920863309355</v>
      </c>
      <c r="G5">
        <f t="shared" si="0"/>
        <v>0.42105263157894735</v>
      </c>
      <c r="H5">
        <f t="shared" si="1"/>
        <v>0.30357142857142855</v>
      </c>
      <c r="I5">
        <f t="shared" si="1"/>
        <v>0.3800738007380074</v>
      </c>
      <c r="J5">
        <f t="shared" si="2"/>
        <v>52.830258302583026</v>
      </c>
      <c r="K5">
        <f t="shared" si="2"/>
        <v>28.885608856088563</v>
      </c>
      <c r="L5">
        <f t="shared" si="2"/>
        <v>21.284132841328415</v>
      </c>
      <c r="M5">
        <f t="shared" si="3"/>
        <v>0.02589984759943988</v>
      </c>
      <c r="N5">
        <f t="shared" si="3"/>
        <v>0.3357877012597408</v>
      </c>
      <c r="O5">
        <f t="shared" si="3"/>
        <v>0.8623228551980392</v>
      </c>
    </row>
    <row r="6" spans="1:9" ht="12.75">
      <c r="A6" t="s">
        <v>4</v>
      </c>
      <c r="B6">
        <f>SUM(B3:B5)</f>
        <v>139</v>
      </c>
      <c r="C6">
        <f>SUM(C3:C5)</f>
        <v>76</v>
      </c>
      <c r="D6">
        <f>SUM(D3:D5)</f>
        <v>56</v>
      </c>
      <c r="E6">
        <f>SUM(B6:D6)</f>
        <v>271</v>
      </c>
      <c r="F6">
        <f t="shared" si="0"/>
        <v>1</v>
      </c>
      <c r="G6">
        <f t="shared" si="0"/>
        <v>1</v>
      </c>
      <c r="H6">
        <f t="shared" si="1"/>
        <v>1</v>
      </c>
      <c r="I6">
        <f t="shared" si="1"/>
        <v>1</v>
      </c>
    </row>
    <row r="10" ht="12.75">
      <c r="A10" t="s">
        <v>111</v>
      </c>
    </row>
    <row r="11" ht="12.75">
      <c r="A11">
        <f>SUM(M3:O5)</f>
        <v>4.072030600355881</v>
      </c>
    </row>
    <row r="12" ht="12.75">
      <c r="A12" t="s">
        <v>86</v>
      </c>
    </row>
    <row r="13" ht="12.75">
      <c r="A13" s="8">
        <f>CHIDIST(A11,4)</f>
        <v>0.39634533051392284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13" sqref="D13"/>
    </sheetView>
  </sheetViews>
  <sheetFormatPr defaultColWidth="9.00390625" defaultRowHeight="12.75"/>
  <cols>
    <col min="2" max="2" width="12.375" style="0" bestFit="1" customWidth="1"/>
  </cols>
  <sheetData>
    <row r="1" spans="1:9" ht="12.75">
      <c r="A1" t="s">
        <v>127</v>
      </c>
      <c r="B1" t="s">
        <v>113</v>
      </c>
      <c r="C1" t="s">
        <v>120</v>
      </c>
      <c r="D1" t="s">
        <v>121</v>
      </c>
      <c r="E1" t="s">
        <v>122</v>
      </c>
      <c r="F1" t="s">
        <v>123</v>
      </c>
      <c r="G1" t="s">
        <v>83</v>
      </c>
      <c r="H1" t="s">
        <v>124</v>
      </c>
      <c r="I1" t="s">
        <v>125</v>
      </c>
    </row>
    <row r="2" spans="1:9" ht="12.75">
      <c r="A2">
        <v>1</v>
      </c>
      <c r="B2" t="str">
        <f>'11 (2)'!B2</f>
        <v>№57</v>
      </c>
      <c r="C2" s="1">
        <f>'11 (2)'!C2</f>
        <v>140</v>
      </c>
      <c r="D2" s="1">
        <f>'11 (2)'!D2</f>
        <v>38</v>
      </c>
      <c r="E2" s="2">
        <f>D2/C2</f>
        <v>0.2714285714285714</v>
      </c>
      <c r="F2">
        <f aca="true" t="shared" si="0" ref="F2:F7">C2*$E$8</f>
        <v>43.30508474576271</v>
      </c>
      <c r="G2">
        <f aca="true" t="shared" si="1" ref="G2:G7">(F2-D2)*(F2-D2)/F2</f>
        <v>0.6498988357822816</v>
      </c>
      <c r="H2" s="2">
        <f aca="true" t="shared" si="2" ref="H2:H7">$E$8</f>
        <v>0.3093220338983051</v>
      </c>
      <c r="I2" s="2">
        <f aca="true" t="shared" si="3" ref="I2:I7">1.96*SQRT(E2*(1-E2)/C2)</f>
        <v>0.07366410251947687</v>
      </c>
    </row>
    <row r="3" spans="1:9" ht="12.75">
      <c r="A3">
        <f>1+A2</f>
        <v>2</v>
      </c>
      <c r="B3" t="str">
        <f>'11 (2)'!B3</f>
        <v>Бурденко</v>
      </c>
      <c r="C3" s="1">
        <f>C2+'11 (2)'!C3</f>
        <v>178</v>
      </c>
      <c r="D3" s="1">
        <f>D2+'11 (2)'!D3</f>
        <v>50</v>
      </c>
      <c r="E3" s="2">
        <f aca="true" t="shared" si="4" ref="E3:E8">D3/C3</f>
        <v>0.2808988764044944</v>
      </c>
      <c r="F3">
        <f t="shared" si="0"/>
        <v>55.059322033898304</v>
      </c>
      <c r="G3">
        <f t="shared" si="1"/>
        <v>0.46489383626862973</v>
      </c>
      <c r="H3" s="2">
        <f t="shared" si="2"/>
        <v>0.3093220338983051</v>
      </c>
      <c r="I3" s="2">
        <f t="shared" si="3"/>
        <v>0.06602616226660174</v>
      </c>
    </row>
    <row r="4" spans="1:9" ht="12.75">
      <c r="A4">
        <f>1+A3</f>
        <v>3</v>
      </c>
      <c r="B4" t="str">
        <f>'11 (2)'!B4</f>
        <v>Склифа</v>
      </c>
      <c r="C4" s="1">
        <f>C3+'11 (2)'!C4</f>
        <v>468</v>
      </c>
      <c r="D4" s="1">
        <f>D3+'11 (2)'!D4</f>
        <v>149</v>
      </c>
      <c r="E4" s="2">
        <f t="shared" si="4"/>
        <v>0.31837606837606836</v>
      </c>
      <c r="F4">
        <f t="shared" si="0"/>
        <v>144.76271186440678</v>
      </c>
      <c r="G4">
        <f t="shared" si="1"/>
        <v>0.1240278695584011</v>
      </c>
      <c r="H4" s="2">
        <f t="shared" si="2"/>
        <v>0.3093220338983051</v>
      </c>
      <c r="I4" s="2">
        <f t="shared" si="3"/>
        <v>0.04220615285703471</v>
      </c>
    </row>
    <row r="5" spans="1:9" ht="12.75">
      <c r="A5">
        <f>1+A4</f>
        <v>4</v>
      </c>
      <c r="B5" t="str">
        <f>'11 (2)'!B5</f>
        <v>№2</v>
      </c>
      <c r="C5" s="1">
        <f>C4+'11 (2)'!C5</f>
        <v>558</v>
      </c>
      <c r="D5" s="1">
        <f>D4+'11 (2)'!D5</f>
        <v>174</v>
      </c>
      <c r="E5" s="2">
        <f t="shared" si="4"/>
        <v>0.3118279569892473</v>
      </c>
      <c r="F5">
        <f t="shared" si="0"/>
        <v>172.60169491525423</v>
      </c>
      <c r="G5">
        <f t="shared" si="1"/>
        <v>0.011328145479601997</v>
      </c>
      <c r="H5" s="2">
        <f t="shared" si="2"/>
        <v>0.3093220338983051</v>
      </c>
      <c r="I5" s="2">
        <f t="shared" si="3"/>
        <v>0.0384366039933808</v>
      </c>
    </row>
    <row r="6" spans="1:9" ht="12.75">
      <c r="A6">
        <f>1+A5</f>
        <v>5</v>
      </c>
      <c r="B6" t="str">
        <f>'11 (2)'!B6</f>
        <v>Василенко</v>
      </c>
      <c r="C6" s="1">
        <f>C5+'11 (2)'!C6</f>
        <v>603</v>
      </c>
      <c r="D6" s="1">
        <f>D5+'11 (2)'!D6</f>
        <v>189</v>
      </c>
      <c r="E6" s="2">
        <f t="shared" si="4"/>
        <v>0.31343283582089554</v>
      </c>
      <c r="F6">
        <f t="shared" si="0"/>
        <v>186.52118644067798</v>
      </c>
      <c r="G6">
        <f t="shared" si="1"/>
        <v>0.03294272773582712</v>
      </c>
      <c r="H6" s="2">
        <f t="shared" si="2"/>
        <v>0.3093220338983051</v>
      </c>
      <c r="I6" s="2">
        <f t="shared" si="3"/>
        <v>0.03702637333538371</v>
      </c>
    </row>
    <row r="7" spans="1:9" ht="12.75">
      <c r="A7">
        <f>1+A6</f>
        <v>6</v>
      </c>
      <c r="B7" t="str">
        <f>'11 (2)'!B7</f>
        <v>ЦКБ</v>
      </c>
      <c r="C7" s="1">
        <f>C6+'11 (2)'!C7</f>
        <v>708</v>
      </c>
      <c r="D7" s="1">
        <f>D6+'11 (2)'!D7</f>
        <v>219</v>
      </c>
      <c r="E7" s="2">
        <f t="shared" si="4"/>
        <v>0.3093220338983051</v>
      </c>
      <c r="F7">
        <f t="shared" si="0"/>
        <v>219</v>
      </c>
      <c r="G7">
        <f t="shared" si="1"/>
        <v>0</v>
      </c>
      <c r="H7" s="2">
        <f t="shared" si="2"/>
        <v>0.3093220338983051</v>
      </c>
      <c r="I7" s="2">
        <f t="shared" si="3"/>
        <v>0.034047299558486885</v>
      </c>
    </row>
    <row r="8" spans="2:7" ht="12.75">
      <c r="B8" t="s">
        <v>4</v>
      </c>
      <c r="C8">
        <f>C7</f>
        <v>708</v>
      </c>
      <c r="D8">
        <f>D7</f>
        <v>219</v>
      </c>
      <c r="E8" s="2">
        <f t="shared" si="4"/>
        <v>0.3093220338983051</v>
      </c>
      <c r="G8">
        <f>SUM(G2:G7)</f>
        <v>1.2830914148247416</v>
      </c>
    </row>
    <row r="11" ht="12.75">
      <c r="B11" t="s">
        <v>86</v>
      </c>
    </row>
    <row r="12" ht="12.75">
      <c r="B12" s="4">
        <f>CHIDIST(G8,5)</f>
        <v>0.9366619052965741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2.375" style="0" bestFit="1" customWidth="1"/>
  </cols>
  <sheetData>
    <row r="1" spans="1:9" ht="12.75">
      <c r="A1" t="s">
        <v>126</v>
      </c>
      <c r="B1" t="s">
        <v>113</v>
      </c>
      <c r="C1" t="s">
        <v>120</v>
      </c>
      <c r="D1" t="s">
        <v>121</v>
      </c>
      <c r="E1" t="s">
        <v>122</v>
      </c>
      <c r="F1" t="s">
        <v>123</v>
      </c>
      <c r="G1" t="s">
        <v>83</v>
      </c>
      <c r="H1" t="s">
        <v>124</v>
      </c>
      <c r="I1" t="s">
        <v>125</v>
      </c>
    </row>
    <row r="2" spans="1:9" ht="12.75">
      <c r="A2">
        <v>1</v>
      </c>
      <c r="B2" t="s">
        <v>114</v>
      </c>
      <c r="C2" s="1">
        <v>140</v>
      </c>
      <c r="D2" s="1">
        <v>38</v>
      </c>
      <c r="E2" s="2">
        <f aca="true" t="shared" si="0" ref="E2:E8">D2/C2</f>
        <v>0.2714285714285714</v>
      </c>
      <c r="F2">
        <f aca="true" t="shared" si="1" ref="F2:F7">C2*$E$8</f>
        <v>43.30508474576271</v>
      </c>
      <c r="G2">
        <f aca="true" t="shared" si="2" ref="G2:G7">(F2-D2)*(F2-D2)/F2</f>
        <v>0.6498988357822816</v>
      </c>
      <c r="H2" s="2">
        <f aca="true" t="shared" si="3" ref="H2:H7">$E$8</f>
        <v>0.3093220338983051</v>
      </c>
      <c r="I2" s="2">
        <f aca="true" t="shared" si="4" ref="I2:I7">1.96*SQRT(E2*(1-E2)/C2)</f>
        <v>0.07366410251947687</v>
      </c>
    </row>
    <row r="3" spans="1:9" ht="12.75">
      <c r="A3">
        <f>1+A2</f>
        <v>2</v>
      </c>
      <c r="B3" t="s">
        <v>115</v>
      </c>
      <c r="C3" s="1">
        <v>38</v>
      </c>
      <c r="D3" s="1">
        <v>12</v>
      </c>
      <c r="E3" s="2">
        <f t="shared" si="0"/>
        <v>0.3157894736842105</v>
      </c>
      <c r="F3">
        <f t="shared" si="1"/>
        <v>11.754237288135593</v>
      </c>
      <c r="G3">
        <f t="shared" si="2"/>
        <v>0.005138513802500205</v>
      </c>
      <c r="H3" s="2">
        <f t="shared" si="3"/>
        <v>0.3093220338983051</v>
      </c>
      <c r="I3" s="2">
        <f t="shared" si="4"/>
        <v>0.14779439819434767</v>
      </c>
    </row>
    <row r="4" spans="1:9" ht="12.75">
      <c r="A4">
        <f>1+A3</f>
        <v>3</v>
      </c>
      <c r="B4" t="s">
        <v>116</v>
      </c>
      <c r="C4" s="1">
        <v>290</v>
      </c>
      <c r="D4" s="1">
        <v>99</v>
      </c>
      <c r="E4" s="2">
        <f t="shared" si="0"/>
        <v>0.3413793103448276</v>
      </c>
      <c r="F4">
        <f t="shared" si="1"/>
        <v>89.70338983050847</v>
      </c>
      <c r="G4">
        <f t="shared" si="2"/>
        <v>0.9634748564886362</v>
      </c>
      <c r="H4" s="2">
        <f t="shared" si="3"/>
        <v>0.3093220338983051</v>
      </c>
      <c r="I4" s="2">
        <f t="shared" si="4"/>
        <v>0.05457495112310954</v>
      </c>
    </row>
    <row r="5" spans="1:9" ht="12.75">
      <c r="A5">
        <f>1+A4</f>
        <v>4</v>
      </c>
      <c r="B5" t="s">
        <v>117</v>
      </c>
      <c r="C5" s="1">
        <v>90</v>
      </c>
      <c r="D5" s="1">
        <v>25</v>
      </c>
      <c r="E5" s="2">
        <f t="shared" si="0"/>
        <v>0.2777777777777778</v>
      </c>
      <c r="F5">
        <f t="shared" si="1"/>
        <v>27.838983050847457</v>
      </c>
      <c r="G5">
        <f t="shared" si="2"/>
        <v>0.2895157753527847</v>
      </c>
      <c r="H5" s="2">
        <f t="shared" si="3"/>
        <v>0.3093220338983051</v>
      </c>
      <c r="I5" s="2">
        <f t="shared" si="4"/>
        <v>0.09253776154298016</v>
      </c>
    </row>
    <row r="6" spans="1:9" ht="12.75">
      <c r="A6">
        <f>1+A5</f>
        <v>5</v>
      </c>
      <c r="B6" t="s">
        <v>118</v>
      </c>
      <c r="C6" s="1">
        <v>45</v>
      </c>
      <c r="D6" s="1">
        <v>15</v>
      </c>
      <c r="E6" s="2">
        <f t="shared" si="0"/>
        <v>0.3333333333333333</v>
      </c>
      <c r="F6">
        <f t="shared" si="1"/>
        <v>13.919491525423728</v>
      </c>
      <c r="G6">
        <f t="shared" si="2"/>
        <v>0.0838750870675645</v>
      </c>
      <c r="H6" s="2">
        <f t="shared" si="3"/>
        <v>0.3093220338983051</v>
      </c>
      <c r="I6" s="2">
        <f t="shared" si="4"/>
        <v>0.1377347603095561</v>
      </c>
    </row>
    <row r="7" spans="1:9" ht="12.75">
      <c r="A7">
        <f>1+A6</f>
        <v>6</v>
      </c>
      <c r="B7" t="s">
        <v>119</v>
      </c>
      <c r="C7" s="1">
        <v>105</v>
      </c>
      <c r="D7" s="1">
        <v>30</v>
      </c>
      <c r="E7" s="2">
        <f t="shared" si="0"/>
        <v>0.2857142857142857</v>
      </c>
      <c r="F7">
        <f t="shared" si="1"/>
        <v>32.478813559322035</v>
      </c>
      <c r="G7">
        <f t="shared" si="2"/>
        <v>0.18918537928289508</v>
      </c>
      <c r="H7" s="2">
        <f t="shared" si="3"/>
        <v>0.3093220338983051</v>
      </c>
      <c r="I7" s="2">
        <f t="shared" si="4"/>
        <v>0.08640987597877146</v>
      </c>
    </row>
    <row r="8" spans="2:7" ht="12.75">
      <c r="B8" t="s">
        <v>4</v>
      </c>
      <c r="C8">
        <f>SUM(C2:C7)</f>
        <v>708</v>
      </c>
      <c r="D8">
        <f>SUM(D2:D7)</f>
        <v>219</v>
      </c>
      <c r="E8" s="2">
        <f t="shared" si="0"/>
        <v>0.3093220338983051</v>
      </c>
      <c r="G8">
        <f>SUM(G2:G7)</f>
        <v>2.1810884477766623</v>
      </c>
    </row>
    <row r="11" ht="12.75">
      <c r="B11" t="s">
        <v>86</v>
      </c>
    </row>
    <row r="12" ht="12.75">
      <c r="B12" s="4">
        <f>CHIDIST(G8,5)</f>
        <v>0.8235628847524902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I12" sqref="I12"/>
    </sheetView>
  </sheetViews>
  <sheetFormatPr defaultColWidth="9.00390625" defaultRowHeight="12.75"/>
  <sheetData>
    <row r="1" spans="1:18" ht="12.75">
      <c r="A1" t="s">
        <v>136</v>
      </c>
      <c r="B1" t="s">
        <v>113</v>
      </c>
      <c r="C1" t="s">
        <v>130</v>
      </c>
      <c r="F1" t="s">
        <v>121</v>
      </c>
      <c r="I1" t="s">
        <v>122</v>
      </c>
      <c r="L1" t="s">
        <v>125</v>
      </c>
      <c r="N1" t="s">
        <v>14</v>
      </c>
      <c r="O1" t="s">
        <v>133</v>
      </c>
      <c r="Q1" t="s">
        <v>134</v>
      </c>
      <c r="R1" t="s">
        <v>135</v>
      </c>
    </row>
    <row r="2" spans="3:13" ht="12.75">
      <c r="C2" t="s">
        <v>131</v>
      </c>
      <c r="D2" t="s">
        <v>132</v>
      </c>
      <c r="E2" t="s">
        <v>4</v>
      </c>
      <c r="F2" t="s">
        <v>131</v>
      </c>
      <c r="G2" t="s">
        <v>132</v>
      </c>
      <c r="H2" t="s">
        <v>4</v>
      </c>
      <c r="I2" t="s">
        <v>131</v>
      </c>
      <c r="J2" t="s">
        <v>132</v>
      </c>
      <c r="K2" t="s">
        <v>4</v>
      </c>
      <c r="L2" t="s">
        <v>131</v>
      </c>
      <c r="M2" t="s">
        <v>132</v>
      </c>
    </row>
    <row r="3" spans="1:18" ht="12.75">
      <c r="A3">
        <v>1</v>
      </c>
      <c r="B3" s="1" t="s">
        <v>114</v>
      </c>
      <c r="C3" s="1">
        <v>270</v>
      </c>
      <c r="D3" s="1">
        <v>120</v>
      </c>
      <c r="E3">
        <f>SUM(C3:D3)</f>
        <v>390</v>
      </c>
      <c r="F3" s="1">
        <v>29</v>
      </c>
      <c r="G3" s="1">
        <v>9</v>
      </c>
      <c r="H3">
        <f>F3+G3</f>
        <v>38</v>
      </c>
      <c r="I3" s="2">
        <f aca="true" t="shared" si="0" ref="I3:I9">F3/C3</f>
        <v>0.10740740740740741</v>
      </c>
      <c r="J3" s="2">
        <f aca="true" t="shared" si="1" ref="J3:J9">G3/D3</f>
        <v>0.075</v>
      </c>
      <c r="K3" s="2">
        <f aca="true" t="shared" si="2" ref="K3:K9">H3/E3</f>
        <v>0.09743589743589744</v>
      </c>
      <c r="L3">
        <f>1.96*SQRT(I3*(1-I3)/C3)</f>
        <v>0.03693328568273423</v>
      </c>
      <c r="M3">
        <f aca="true" t="shared" si="3" ref="M3:M9">1.96*SQRT(J3*(1-J3)/D3)</f>
        <v>0.0471266909510948</v>
      </c>
      <c r="N3" s="2">
        <f>J3/I3</f>
        <v>0.6982758620689655</v>
      </c>
      <c r="O3">
        <v>0.34</v>
      </c>
      <c r="P3">
        <v>1.43</v>
      </c>
      <c r="Q3" s="2">
        <f>N3-O3</f>
        <v>0.3582758620689655</v>
      </c>
      <c r="R3" s="2">
        <f>P3-N3</f>
        <v>0.7317241379310344</v>
      </c>
    </row>
    <row r="4" spans="1:18" ht="12.75">
      <c r="A4">
        <f aca="true" t="shared" si="4" ref="A4:A9">1+A3</f>
        <v>2</v>
      </c>
      <c r="B4" s="1" t="s">
        <v>118</v>
      </c>
      <c r="C4" s="1">
        <v>140</v>
      </c>
      <c r="D4" s="1">
        <v>220</v>
      </c>
      <c r="E4">
        <f aca="true" t="shared" si="5" ref="E4:E9">SUM(C4:D4)</f>
        <v>360</v>
      </c>
      <c r="F4" s="1">
        <v>11</v>
      </c>
      <c r="G4" s="1">
        <v>12</v>
      </c>
      <c r="H4">
        <f aca="true" t="shared" si="6" ref="H4:H9">F4+G4</f>
        <v>23</v>
      </c>
      <c r="I4" s="2">
        <f t="shared" si="0"/>
        <v>0.07857142857142857</v>
      </c>
      <c r="J4" s="2">
        <f t="shared" si="1"/>
        <v>0.05454545454545454</v>
      </c>
      <c r="K4" s="2">
        <f t="shared" si="2"/>
        <v>0.06388888888888888</v>
      </c>
      <c r="L4">
        <f aca="true" t="shared" si="7" ref="L4:L9">1.96*SQRT(I4*(1-I4)/C4)</f>
        <v>0.04457129120857954</v>
      </c>
      <c r="M4">
        <f t="shared" si="3"/>
        <v>0.030008503678337118</v>
      </c>
      <c r="N4" s="2">
        <f aca="true" t="shared" si="8" ref="N4:N9">J4/I4</f>
        <v>0.6942148760330579</v>
      </c>
      <c r="O4">
        <v>0.31</v>
      </c>
      <c r="P4">
        <v>1.53</v>
      </c>
      <c r="Q4" s="2">
        <f aca="true" t="shared" si="9" ref="Q4:Q9">N4-O4</f>
        <v>0.3842148760330579</v>
      </c>
      <c r="R4" s="2">
        <f aca="true" t="shared" si="10" ref="R4:R9">P4-N4</f>
        <v>0.8357851239669422</v>
      </c>
    </row>
    <row r="5" spans="1:18" ht="12.75">
      <c r="A5">
        <f t="shared" si="4"/>
        <v>3</v>
      </c>
      <c r="B5" s="1" t="s">
        <v>117</v>
      </c>
      <c r="C5" s="1">
        <v>190</v>
      </c>
      <c r="D5" s="1">
        <v>95</v>
      </c>
      <c r="E5">
        <f t="shared" si="5"/>
        <v>285</v>
      </c>
      <c r="F5" s="1">
        <v>29</v>
      </c>
      <c r="G5" s="1">
        <v>8</v>
      </c>
      <c r="H5">
        <f t="shared" si="6"/>
        <v>37</v>
      </c>
      <c r="I5" s="2">
        <f t="shared" si="0"/>
        <v>0.15263157894736842</v>
      </c>
      <c r="J5" s="2">
        <f t="shared" si="1"/>
        <v>0.08421052631578947</v>
      </c>
      <c r="K5" s="2">
        <f t="shared" si="2"/>
        <v>0.12982456140350876</v>
      </c>
      <c r="L5">
        <f t="shared" si="7"/>
        <v>0.05113727797238944</v>
      </c>
      <c r="M5">
        <f t="shared" si="3"/>
        <v>0.055843841172326346</v>
      </c>
      <c r="N5" s="2">
        <f t="shared" si="8"/>
        <v>0.5517241379310345</v>
      </c>
      <c r="O5">
        <v>0.26</v>
      </c>
      <c r="P5">
        <v>1.16</v>
      </c>
      <c r="Q5" s="2">
        <f t="shared" si="9"/>
        <v>0.29172413793103447</v>
      </c>
      <c r="R5" s="2">
        <f t="shared" si="10"/>
        <v>0.6082758620689654</v>
      </c>
    </row>
    <row r="6" spans="1:18" ht="12.75">
      <c r="A6">
        <f t="shared" si="4"/>
        <v>4</v>
      </c>
      <c r="B6" s="1" t="s">
        <v>115</v>
      </c>
      <c r="C6" s="1">
        <v>500</v>
      </c>
      <c r="D6" s="1">
        <v>500</v>
      </c>
      <c r="E6">
        <f t="shared" si="5"/>
        <v>1000</v>
      </c>
      <c r="F6" s="1">
        <v>34</v>
      </c>
      <c r="G6" s="1">
        <v>21</v>
      </c>
      <c r="H6">
        <f t="shared" si="6"/>
        <v>55</v>
      </c>
      <c r="I6" s="2">
        <f t="shared" si="0"/>
        <v>0.068</v>
      </c>
      <c r="J6" s="2">
        <f t="shared" si="1"/>
        <v>0.042</v>
      </c>
      <c r="K6" s="2">
        <f t="shared" si="2"/>
        <v>0.055</v>
      </c>
      <c r="L6">
        <f t="shared" si="7"/>
        <v>0.02206650138105268</v>
      </c>
      <c r="M6">
        <f t="shared" si="3"/>
        <v>0.017582412667208103</v>
      </c>
      <c r="N6" s="2">
        <f t="shared" si="8"/>
        <v>0.6176470588235294</v>
      </c>
      <c r="O6">
        <v>0.36</v>
      </c>
      <c r="P6">
        <v>1.05</v>
      </c>
      <c r="Q6" s="2">
        <f t="shared" si="9"/>
        <v>0.25764705882352945</v>
      </c>
      <c r="R6" s="2">
        <f t="shared" si="10"/>
        <v>0.4323529411764706</v>
      </c>
    </row>
    <row r="7" spans="1:18" ht="12.75">
      <c r="A7">
        <f t="shared" si="4"/>
        <v>5</v>
      </c>
      <c r="B7" s="1" t="s">
        <v>116</v>
      </c>
      <c r="C7" s="1">
        <v>380</v>
      </c>
      <c r="D7" s="1">
        <v>119</v>
      </c>
      <c r="E7">
        <f t="shared" si="5"/>
        <v>499</v>
      </c>
      <c r="F7" s="1">
        <v>47</v>
      </c>
      <c r="G7" s="1">
        <v>11</v>
      </c>
      <c r="H7">
        <f t="shared" si="6"/>
        <v>58</v>
      </c>
      <c r="I7" s="2">
        <f t="shared" si="0"/>
        <v>0.12368421052631579</v>
      </c>
      <c r="J7" s="2">
        <f t="shared" si="1"/>
        <v>0.09243697478991597</v>
      </c>
      <c r="K7" s="2">
        <f t="shared" si="2"/>
        <v>0.11623246492985972</v>
      </c>
      <c r="L7">
        <f t="shared" si="7"/>
        <v>0.03310180852106883</v>
      </c>
      <c r="M7">
        <f t="shared" si="3"/>
        <v>0.05204078627175628</v>
      </c>
      <c r="N7" s="2">
        <f t="shared" si="8"/>
        <v>0.7473627748971929</v>
      </c>
      <c r="O7">
        <v>0.4</v>
      </c>
      <c r="P7">
        <v>1.39</v>
      </c>
      <c r="Q7" s="2">
        <f t="shared" si="9"/>
        <v>0.3473627748971929</v>
      </c>
      <c r="R7" s="2">
        <f t="shared" si="10"/>
        <v>0.642637225102807</v>
      </c>
    </row>
    <row r="8" spans="1:18" ht="12.75">
      <c r="A8">
        <f t="shared" si="4"/>
        <v>6</v>
      </c>
      <c r="B8" s="1" t="s">
        <v>119</v>
      </c>
      <c r="C8" s="1">
        <v>90</v>
      </c>
      <c r="D8" s="1">
        <v>40</v>
      </c>
      <c r="E8">
        <f t="shared" si="5"/>
        <v>130</v>
      </c>
      <c r="F8" s="1">
        <v>29</v>
      </c>
      <c r="G8" s="1">
        <v>9</v>
      </c>
      <c r="H8">
        <f t="shared" si="6"/>
        <v>38</v>
      </c>
      <c r="I8" s="2">
        <f t="shared" si="0"/>
        <v>0.32222222222222224</v>
      </c>
      <c r="J8" s="2">
        <f t="shared" si="1"/>
        <v>0.225</v>
      </c>
      <c r="K8" s="2">
        <f t="shared" si="2"/>
        <v>0.2923076923076923</v>
      </c>
      <c r="L8">
        <f t="shared" si="7"/>
        <v>0.09655087715441375</v>
      </c>
      <c r="M8">
        <f t="shared" si="3"/>
        <v>0.12941010393319372</v>
      </c>
      <c r="N8" s="2">
        <f t="shared" si="8"/>
        <v>0.6982758620689655</v>
      </c>
      <c r="O8">
        <v>0.37</v>
      </c>
      <c r="P8">
        <v>1.34</v>
      </c>
      <c r="Q8" s="2">
        <f t="shared" si="9"/>
        <v>0.32827586206896553</v>
      </c>
      <c r="R8" s="2">
        <f t="shared" si="10"/>
        <v>0.6417241379310346</v>
      </c>
    </row>
    <row r="9" spans="1:18" ht="12.75">
      <c r="A9">
        <f t="shared" si="4"/>
        <v>7</v>
      </c>
      <c r="B9" t="s">
        <v>4</v>
      </c>
      <c r="C9">
        <f>SUM(C3:C8)</f>
        <v>1570</v>
      </c>
      <c r="D9">
        <f>SUM(D3:D8)</f>
        <v>1094</v>
      </c>
      <c r="E9">
        <f t="shared" si="5"/>
        <v>2664</v>
      </c>
      <c r="F9">
        <f>SUM(F3:F8)</f>
        <v>179</v>
      </c>
      <c r="G9">
        <f>SUM(G3:G8)</f>
        <v>70</v>
      </c>
      <c r="H9">
        <f t="shared" si="6"/>
        <v>249</v>
      </c>
      <c r="I9" s="2">
        <f t="shared" si="0"/>
        <v>0.11401273885350319</v>
      </c>
      <c r="J9" s="2">
        <f t="shared" si="1"/>
        <v>0.06398537477148081</v>
      </c>
      <c r="K9" s="2">
        <f t="shared" si="2"/>
        <v>0.09346846846846847</v>
      </c>
      <c r="L9">
        <f t="shared" si="7"/>
        <v>0.015721597493991924</v>
      </c>
      <c r="M9">
        <f t="shared" si="3"/>
        <v>0.014502039599602152</v>
      </c>
      <c r="N9" s="2">
        <f t="shared" si="8"/>
        <v>0.5612125049789098</v>
      </c>
      <c r="O9">
        <v>0.43</v>
      </c>
      <c r="P9">
        <v>0.73</v>
      </c>
      <c r="Q9" s="2">
        <f t="shared" si="9"/>
        <v>0.13121250497890985</v>
      </c>
      <c r="R9" s="2">
        <f t="shared" si="10"/>
        <v>0.16878749502109014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J11" sqref="J11"/>
    </sheetView>
  </sheetViews>
  <sheetFormatPr defaultColWidth="9.00390625" defaultRowHeight="12.75"/>
  <sheetData>
    <row r="1" spans="1:6" ht="12.75">
      <c r="A1" t="s">
        <v>78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</row>
    <row r="2" spans="1:6" ht="12.75">
      <c r="A2">
        <v>1</v>
      </c>
      <c r="B2" s="1">
        <v>90</v>
      </c>
      <c r="C2" s="1">
        <v>16.5</v>
      </c>
      <c r="D2" s="1">
        <v>8.5</v>
      </c>
      <c r="E2">
        <f>D2*D2</f>
        <v>72.25</v>
      </c>
      <c r="F2">
        <f>C2*C2+E2</f>
        <v>344.5</v>
      </c>
    </row>
    <row r="3" spans="1:6" ht="12.75">
      <c r="A3">
        <v>2</v>
      </c>
      <c r="B3" s="1">
        <v>370</v>
      </c>
      <c r="C3" s="1">
        <v>17.5</v>
      </c>
      <c r="D3" s="1">
        <v>7.5</v>
      </c>
      <c r="E3">
        <f>D3*D3</f>
        <v>56.25</v>
      </c>
      <c r="F3">
        <f>C3*C3+E3</f>
        <v>362.5</v>
      </c>
    </row>
    <row r="4" spans="1:6" ht="12.75">
      <c r="A4" t="s">
        <v>138</v>
      </c>
      <c r="B4" s="4">
        <f>SUM(B2:B3)</f>
        <v>460</v>
      </c>
      <c r="C4" s="4">
        <f>(B2*C2+B3*C3)/B4</f>
        <v>17.304347826086957</v>
      </c>
      <c r="D4" s="4">
        <f>SQRT(E4)</f>
        <v>7.716074596798867</v>
      </c>
      <c r="E4" s="4">
        <f>F4-C4*C4</f>
        <v>59.537807183364805</v>
      </c>
      <c r="F4" s="4">
        <f>(B2*F2+B3*F3)/B4</f>
        <v>358.9782608695652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B3"/>
    </sheetView>
  </sheetViews>
  <sheetFormatPr defaultColWidth="9.00390625" defaultRowHeight="12.75"/>
  <cols>
    <col min="1" max="1" width="22.25390625" style="0" customWidth="1"/>
  </cols>
  <sheetData>
    <row r="1" spans="1:2" ht="12.75">
      <c r="A1" t="s">
        <v>145</v>
      </c>
      <c r="B1" s="1">
        <v>50</v>
      </c>
    </row>
    <row r="2" spans="1:2" ht="12.75">
      <c r="A2" t="s">
        <v>146</v>
      </c>
      <c r="B2" s="1">
        <v>10.5</v>
      </c>
    </row>
    <row r="3" spans="1:2" ht="12.75">
      <c r="A3" t="s">
        <v>147</v>
      </c>
      <c r="B3" s="1">
        <v>9</v>
      </c>
    </row>
    <row r="4" spans="1:7" ht="12.75">
      <c r="A4" t="s">
        <v>148</v>
      </c>
      <c r="B4">
        <f>B2*B2</f>
        <v>110.25</v>
      </c>
      <c r="G4" s="9"/>
    </row>
    <row r="5" spans="1:2" ht="12.75">
      <c r="A5" t="s">
        <v>149</v>
      </c>
      <c r="B5">
        <f>B3*B3</f>
        <v>81</v>
      </c>
    </row>
    <row r="6" spans="1:2" ht="12.75">
      <c r="A6" t="s">
        <v>150</v>
      </c>
      <c r="B6">
        <f>B4/B5</f>
        <v>1.3611111111111112</v>
      </c>
    </row>
    <row r="7" ht="12.75">
      <c r="B7">
        <f>B5/B4</f>
        <v>0.7346938775510204</v>
      </c>
    </row>
    <row r="8" spans="1:4" ht="12.75">
      <c r="A8" t="s">
        <v>151</v>
      </c>
      <c r="B8" s="8">
        <f>CHIDIST(B6*(B1-1),B1-1)</f>
        <v>0.04704452322418183</v>
      </c>
      <c r="C8" t="s">
        <v>152</v>
      </c>
      <c r="D8" s="9"/>
    </row>
    <row r="9" spans="2:3" ht="12.75">
      <c r="B9" s="8">
        <f>CHIDIST(B7*(B1-1),B1-1)</f>
        <v>0.9165819637349975</v>
      </c>
      <c r="C9" t="s">
        <v>153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18.25390625" style="0" customWidth="1"/>
  </cols>
  <sheetData>
    <row r="1" spans="1:2" ht="12.75">
      <c r="A1" t="s">
        <v>145</v>
      </c>
      <c r="B1" s="1">
        <v>50</v>
      </c>
    </row>
    <row r="2" spans="1:2" ht="12.75">
      <c r="A2" t="s">
        <v>146</v>
      </c>
      <c r="B2" s="1">
        <v>10.5</v>
      </c>
    </row>
    <row r="3" spans="1:2" ht="12.75">
      <c r="A3" t="s">
        <v>155</v>
      </c>
      <c r="B3" s="1">
        <v>0.05</v>
      </c>
    </row>
    <row r="4" spans="1:2" ht="12.75">
      <c r="A4" t="s">
        <v>157</v>
      </c>
      <c r="B4">
        <f>CHIINV(B3/2,B1-1)</f>
        <v>70.22241360856596</v>
      </c>
    </row>
    <row r="5" spans="1:2" ht="12.75">
      <c r="A5" t="s">
        <v>156</v>
      </c>
      <c r="B5">
        <f>CHIINV(1-B3/2,B1-1)</f>
        <v>31.55491677289426</v>
      </c>
    </row>
    <row r="6" spans="1:2" ht="12.75">
      <c r="A6" t="s">
        <v>142</v>
      </c>
      <c r="B6">
        <f>B2*B2</f>
        <v>110.25</v>
      </c>
    </row>
    <row r="7" spans="1:2" ht="12.75">
      <c r="A7" t="s">
        <v>158</v>
      </c>
      <c r="B7">
        <f>B6*B4/(B1-1)</f>
        <v>158.0004306192734</v>
      </c>
    </row>
    <row r="8" spans="1:2" ht="12.75">
      <c r="A8" t="s">
        <v>159</v>
      </c>
      <c r="B8">
        <f>B6*B5/(B1-1)</f>
        <v>70.99856273901207</v>
      </c>
    </row>
    <row r="9" spans="1:2" ht="12.75">
      <c r="A9" t="s">
        <v>160</v>
      </c>
      <c r="B9" s="8">
        <f>SQRT(B7)</f>
        <v>12.569822219079846</v>
      </c>
    </row>
    <row r="10" spans="1:2" ht="12.75">
      <c r="A10" t="s">
        <v>161</v>
      </c>
      <c r="B10" s="8">
        <f>SQRT(B8)</f>
        <v>8.426064486995816</v>
      </c>
    </row>
    <row r="11" spans="1:2" ht="12.75">
      <c r="A11" t="s">
        <v>22</v>
      </c>
      <c r="B11" s="8">
        <f>B2-B10</f>
        <v>2.0739355130041837</v>
      </c>
    </row>
    <row r="12" spans="1:2" ht="12.75">
      <c r="A12" t="s">
        <v>23</v>
      </c>
      <c r="B12" s="8">
        <f>B9-B2</f>
        <v>2.069822219079846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7" sqref="G7"/>
    </sheetView>
  </sheetViews>
  <sheetFormatPr defaultColWidth="9.00390625" defaultRowHeight="12.75"/>
  <sheetData>
    <row r="1" spans="1:3" ht="12.75">
      <c r="A1" t="s">
        <v>78</v>
      </c>
      <c r="B1" s="1">
        <v>1</v>
      </c>
      <c r="C1" s="1">
        <v>2</v>
      </c>
    </row>
    <row r="2" spans="1:3" ht="12.75">
      <c r="A2" t="s">
        <v>139</v>
      </c>
      <c r="B2" s="1">
        <v>50</v>
      </c>
      <c r="C2" s="1">
        <v>30</v>
      </c>
    </row>
    <row r="3" spans="1:3" ht="12.75">
      <c r="A3" t="s">
        <v>163</v>
      </c>
      <c r="B3" s="1">
        <v>10.5</v>
      </c>
      <c r="C3" s="1">
        <v>5.5</v>
      </c>
    </row>
    <row r="4" spans="1:3" ht="12.75">
      <c r="A4" t="s">
        <v>164</v>
      </c>
      <c r="B4">
        <f>B3*B3</f>
        <v>110.25</v>
      </c>
      <c r="C4">
        <f>C3*C3</f>
        <v>30.25</v>
      </c>
    </row>
    <row r="5" spans="1:2" ht="12.75">
      <c r="A5" t="s">
        <v>165</v>
      </c>
      <c r="B5">
        <f>B4/C4</f>
        <v>3.644628099173554</v>
      </c>
    </row>
    <row r="6" spans="1:2" ht="12.75">
      <c r="A6" t="s">
        <v>155</v>
      </c>
      <c r="B6" s="8">
        <f>FDIST(B5,B2-1,C2-1)</f>
        <v>0.00019123044265339413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8.25390625" style="0" customWidth="1"/>
  </cols>
  <sheetData>
    <row r="1" spans="1:2" ht="12.75">
      <c r="A1" t="s">
        <v>145</v>
      </c>
      <c r="B1" s="1">
        <v>50</v>
      </c>
    </row>
    <row r="2" spans="1:2" ht="12.75">
      <c r="A2" t="s">
        <v>168</v>
      </c>
      <c r="B2" s="1">
        <v>54.5</v>
      </c>
    </row>
    <row r="3" spans="1:2" ht="12.75">
      <c r="A3" t="s">
        <v>141</v>
      </c>
      <c r="B3" s="1">
        <v>10.5</v>
      </c>
    </row>
    <row r="4" spans="1:2" ht="12.75">
      <c r="A4" t="s">
        <v>169</v>
      </c>
      <c r="B4" s="1">
        <v>53</v>
      </c>
    </row>
    <row r="5" spans="1:2" ht="12.75">
      <c r="A5" t="s">
        <v>155</v>
      </c>
      <c r="B5" s="1">
        <v>0.05</v>
      </c>
    </row>
    <row r="6" spans="1:2" ht="12.75">
      <c r="A6" t="s">
        <v>170</v>
      </c>
      <c r="B6">
        <f>B3/SQRT(B1)</f>
        <v>1.4849242404917498</v>
      </c>
    </row>
    <row r="7" spans="1:2" ht="12.75">
      <c r="A7" t="s">
        <v>171</v>
      </c>
      <c r="B7">
        <f>(B2-B4)/B6</f>
        <v>1.0101525445522108</v>
      </c>
    </row>
    <row r="8" spans="1:2" ht="12.75">
      <c r="A8" t="s">
        <v>155</v>
      </c>
      <c r="B8" s="4">
        <f>TDIST(ABS(B6),B1-1,2)</f>
        <v>0.1439692350741152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45.375" style="0" customWidth="1"/>
  </cols>
  <sheetData>
    <row r="1" ht="12.75">
      <c r="B1" t="s">
        <v>5</v>
      </c>
    </row>
    <row r="2" spans="1:4" ht="12.75">
      <c r="A2" t="s">
        <v>1</v>
      </c>
      <c r="B2" t="s">
        <v>6</v>
      </c>
      <c r="C2" t="s">
        <v>7</v>
      </c>
      <c r="D2" t="s">
        <v>4</v>
      </c>
    </row>
    <row r="3" spans="1:4" ht="12.75">
      <c r="A3" t="s">
        <v>2</v>
      </c>
      <c r="B3" s="1">
        <v>38</v>
      </c>
      <c r="C3" s="1">
        <v>370</v>
      </c>
      <c r="D3">
        <f>SUM(B3:C3)</f>
        <v>408</v>
      </c>
    </row>
    <row r="4" spans="1:4" ht="12.75">
      <c r="A4" t="s">
        <v>3</v>
      </c>
      <c r="B4" s="1">
        <v>4</v>
      </c>
      <c r="C4" s="1">
        <v>4250</v>
      </c>
      <c r="D4">
        <f>SUM(B4:C4)</f>
        <v>4254</v>
      </c>
    </row>
    <row r="5" spans="1:4" ht="12.75">
      <c r="A5" t="s">
        <v>4</v>
      </c>
      <c r="B5">
        <f>SUM(B3:B4)</f>
        <v>42</v>
      </c>
      <c r="C5">
        <f>SUM(C3:C4)</f>
        <v>4620</v>
      </c>
      <c r="D5">
        <f>SUM(B5:C5)</f>
        <v>4662</v>
      </c>
    </row>
    <row r="7" spans="1:2" ht="12.75">
      <c r="A7" t="s">
        <v>8</v>
      </c>
      <c r="B7">
        <f>B5/D5</f>
        <v>0.009009009009009009</v>
      </c>
    </row>
    <row r="8" spans="1:2" ht="12.75">
      <c r="A8" t="s">
        <v>9</v>
      </c>
      <c r="B8">
        <f>D3/D5</f>
        <v>0.08751608751608751</v>
      </c>
    </row>
    <row r="9" spans="1:2" ht="12.75">
      <c r="A9" t="s">
        <v>10</v>
      </c>
      <c r="B9">
        <f>B3/B5</f>
        <v>0.9047619047619048</v>
      </c>
    </row>
    <row r="10" spans="1:2" ht="12.75">
      <c r="A10" t="s">
        <v>11</v>
      </c>
      <c r="B10">
        <f>C4/C5</f>
        <v>0.9199134199134199</v>
      </c>
    </row>
    <row r="11" spans="1:2" ht="12.75">
      <c r="A11" t="s">
        <v>12</v>
      </c>
      <c r="B11">
        <f>B3/D3</f>
        <v>0.09313725490196079</v>
      </c>
    </row>
    <row r="12" spans="1:2" ht="12.75">
      <c r="A12" t="s">
        <v>13</v>
      </c>
      <c r="B12">
        <f>B4/D4</f>
        <v>0.0009402914903620122</v>
      </c>
    </row>
    <row r="13" spans="1:2" ht="12.75">
      <c r="A13" t="s">
        <v>14</v>
      </c>
      <c r="B13">
        <f>B11/B12</f>
        <v>99.0514705882353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18.375" style="0" customWidth="1"/>
  </cols>
  <sheetData>
    <row r="1" spans="1:2" ht="12.75">
      <c r="A1" t="s">
        <v>145</v>
      </c>
      <c r="B1" s="1">
        <v>50</v>
      </c>
    </row>
    <row r="2" spans="1:2" ht="12.75">
      <c r="A2" t="s">
        <v>168</v>
      </c>
      <c r="B2" s="1">
        <v>54.5</v>
      </c>
    </row>
    <row r="3" spans="1:2" ht="12.75">
      <c r="A3" t="s">
        <v>141</v>
      </c>
      <c r="B3" s="1">
        <v>10.5</v>
      </c>
    </row>
    <row r="4" spans="1:2" ht="12.75">
      <c r="A4" t="s">
        <v>155</v>
      </c>
      <c r="B4" s="1">
        <v>0.05</v>
      </c>
    </row>
    <row r="5" spans="1:2" ht="12.75">
      <c r="A5" t="s">
        <v>171</v>
      </c>
      <c r="B5">
        <f>TINV(B4/2,B1-1)</f>
        <v>2.312375146293279</v>
      </c>
    </row>
    <row r="6" spans="1:2" ht="12.75">
      <c r="A6" t="s">
        <v>174</v>
      </c>
      <c r="B6">
        <f>B3/SQRT(B1)</f>
        <v>1.4849242404917498</v>
      </c>
    </row>
    <row r="7" spans="1:2" ht="12.75">
      <c r="A7" t="s">
        <v>175</v>
      </c>
      <c r="B7" s="8">
        <f>B5*B6</f>
        <v>3.433701907841546</v>
      </c>
    </row>
    <row r="8" spans="1:2" ht="12.75">
      <c r="A8" t="s">
        <v>176</v>
      </c>
      <c r="B8" s="8">
        <f>B2-B7</f>
        <v>51.066298092158455</v>
      </c>
    </row>
    <row r="9" spans="1:2" ht="12.75">
      <c r="A9" t="s">
        <v>177</v>
      </c>
      <c r="B9" s="8">
        <f>B2+B7</f>
        <v>57.933701907841545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36.625" style="0" customWidth="1"/>
  </cols>
  <sheetData>
    <row r="1" spans="1:4" ht="12.75">
      <c r="A1" t="s">
        <v>78</v>
      </c>
      <c r="B1" s="1">
        <v>1</v>
      </c>
      <c r="C1" s="1">
        <v>2</v>
      </c>
      <c r="D1" s="1">
        <v>3</v>
      </c>
    </row>
    <row r="2" spans="1:4" ht="12.75">
      <c r="A2" t="s">
        <v>179</v>
      </c>
      <c r="B2" s="1">
        <v>16.8</v>
      </c>
      <c r="C2" s="1">
        <v>14.4</v>
      </c>
      <c r="D2" s="1">
        <v>11</v>
      </c>
    </row>
    <row r="3" spans="1:4" ht="12.75">
      <c r="A3" t="s">
        <v>145</v>
      </c>
      <c r="B3" s="1">
        <v>100</v>
      </c>
      <c r="C3" s="1">
        <v>40</v>
      </c>
      <c r="D3" s="1">
        <v>20</v>
      </c>
    </row>
    <row r="4" spans="1:4" ht="12.75">
      <c r="A4" t="s">
        <v>141</v>
      </c>
      <c r="B4" s="1">
        <v>5.2</v>
      </c>
      <c r="C4" s="1">
        <v>4.7</v>
      </c>
      <c r="D4" s="1">
        <v>4.8</v>
      </c>
    </row>
    <row r="5" spans="1:4" ht="12.75">
      <c r="A5" t="s">
        <v>180</v>
      </c>
      <c r="B5" s="1">
        <v>0.05</v>
      </c>
      <c r="C5" s="1"/>
      <c r="D5" s="1"/>
    </row>
    <row r="6" spans="1:4" ht="12.75">
      <c r="A6" t="s">
        <v>181</v>
      </c>
      <c r="B6">
        <f>B4/SQRT(B3)</f>
        <v>0.52</v>
      </c>
      <c r="C6">
        <f>C4/SQRT(C3)</f>
        <v>0.7431352501395692</v>
      </c>
      <c r="D6">
        <f>D4/SQRT(D3)</f>
        <v>1.073312629199899</v>
      </c>
    </row>
    <row r="7" spans="1:4" ht="12.75">
      <c r="A7" t="s">
        <v>182</v>
      </c>
      <c r="B7">
        <f>TINV($B$5,B3-1)</f>
        <v>1.9842169002249928</v>
      </c>
      <c r="C7">
        <f>TINV($B$5,C3-1)</f>
        <v>2.0226909012420426</v>
      </c>
      <c r="D7">
        <f>TINV($B$5,D3-1)</f>
        <v>2.093024049854865</v>
      </c>
    </row>
    <row r="8" spans="1:4" ht="12.75">
      <c r="A8" t="s">
        <v>183</v>
      </c>
      <c r="B8">
        <f>B6*B7</f>
        <v>1.0317927881169964</v>
      </c>
      <c r="C8">
        <f>C6*C7</f>
        <v>1.503132908849536</v>
      </c>
      <c r="D8">
        <f>D6*D7</f>
        <v>2.2464691459283452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E8"/>
    </sheetView>
  </sheetViews>
  <sheetFormatPr defaultColWidth="9.00390625" defaultRowHeight="12.75"/>
  <sheetData>
    <row r="1" spans="1:7" ht="12.75">
      <c r="A1" s="3" t="s">
        <v>185</v>
      </c>
      <c r="B1" s="3"/>
      <c r="C1" s="3"/>
      <c r="D1" s="3"/>
      <c r="E1" s="3"/>
      <c r="F1" t="s">
        <v>182</v>
      </c>
      <c r="G1" t="s">
        <v>175</v>
      </c>
    </row>
    <row r="2" spans="1:5" ht="12.75">
      <c r="A2" s="3" t="s">
        <v>195</v>
      </c>
      <c r="B2" s="3"/>
      <c r="C2" s="3"/>
      <c r="D2" s="3"/>
      <c r="E2" s="3"/>
    </row>
    <row r="3" spans="1:5" ht="12.75">
      <c r="A3" s="3" t="s">
        <v>186</v>
      </c>
      <c r="B3" s="3" t="s">
        <v>187</v>
      </c>
      <c r="C3" s="3" t="s">
        <v>188</v>
      </c>
      <c r="D3" s="3" t="s">
        <v>189</v>
      </c>
      <c r="E3" s="3" t="s">
        <v>190</v>
      </c>
    </row>
    <row r="4" spans="1:7" ht="12.75">
      <c r="A4" s="3" t="s">
        <v>191</v>
      </c>
      <c r="B4" s="3">
        <v>106.33333333333333</v>
      </c>
      <c r="C4" s="3">
        <v>57</v>
      </c>
      <c r="D4" s="3">
        <v>18.78956143840561</v>
      </c>
      <c r="E4" s="3">
        <v>2.4887382100229836</v>
      </c>
      <c r="F4">
        <f>TINV($B$11,C4-1)</f>
        <v>2.003240704205086</v>
      </c>
      <c r="G4">
        <f>E4*F4</f>
        <v>4.985541684428547</v>
      </c>
    </row>
    <row r="5" spans="1:7" ht="12.75">
      <c r="A5" s="3" t="s">
        <v>192</v>
      </c>
      <c r="B5" s="3">
        <v>93.58899676375407</v>
      </c>
      <c r="C5" s="3">
        <v>309</v>
      </c>
      <c r="D5" s="3">
        <v>11.836384938224747</v>
      </c>
      <c r="E5" s="3">
        <v>0.6733484131233787</v>
      </c>
      <c r="F5">
        <f>TINV($B$11,C5-1)</f>
        <v>1.967695939421569</v>
      </c>
      <c r="G5">
        <f>E5*F5</f>
        <v>1.3249449383188292</v>
      </c>
    </row>
    <row r="6" spans="1:7" ht="12.75">
      <c r="A6" s="3" t="s">
        <v>193</v>
      </c>
      <c r="B6" s="3">
        <v>96.56249999999994</v>
      </c>
      <c r="C6" s="3">
        <v>592</v>
      </c>
      <c r="D6" s="3">
        <v>12.402423723337233</v>
      </c>
      <c r="E6" s="3">
        <v>0.5097364750621449</v>
      </c>
      <c r="F6">
        <f>TINV($B$11,C6-1)</f>
        <v>1.9639859839839664</v>
      </c>
      <c r="G6">
        <f>E6*F6</f>
        <v>1.0011152925474451</v>
      </c>
    </row>
    <row r="7" spans="1:7" ht="12.75">
      <c r="A7" s="3" t="s">
        <v>194</v>
      </c>
      <c r="B7" s="3">
        <v>109.52702702702705</v>
      </c>
      <c r="C7" s="3">
        <v>74</v>
      </c>
      <c r="D7" s="3">
        <v>18.375999067405477</v>
      </c>
      <c r="E7" s="3">
        <v>2.136166501144512</v>
      </c>
      <c r="F7">
        <f>TINV($B$11,C7-1)</f>
        <v>1.99299709740838</v>
      </c>
      <c r="G7">
        <f>E7*F7</f>
        <v>4.257373636362027</v>
      </c>
    </row>
    <row r="8" spans="1:7" ht="12.75">
      <c r="A8" s="3" t="s">
        <v>25</v>
      </c>
      <c r="B8" s="3">
        <v>97.14147286821702</v>
      </c>
      <c r="C8" s="3">
        <v>1032</v>
      </c>
      <c r="D8" s="3">
        <v>13.884145301315838</v>
      </c>
      <c r="E8" s="3">
        <v>0.43219456521076655</v>
      </c>
      <c r="F8">
        <f>TINV($B$11,C8-1)</f>
        <v>1.9622675392097317</v>
      </c>
      <c r="G8">
        <f>E8*F8</f>
        <v>0.8480813659359508</v>
      </c>
    </row>
    <row r="11" spans="1:2" ht="12.75">
      <c r="A11" t="s">
        <v>180</v>
      </c>
      <c r="B11">
        <v>0.05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8.375" style="0" customWidth="1"/>
    <col min="4" max="4" width="12.375" style="0" bestFit="1" customWidth="1"/>
  </cols>
  <sheetData>
    <row r="1" spans="1:4" ht="12.75">
      <c r="A1" t="s">
        <v>78</v>
      </c>
      <c r="B1">
        <v>1</v>
      </c>
      <c r="C1">
        <v>2</v>
      </c>
      <c r="D1" t="s">
        <v>198</v>
      </c>
    </row>
    <row r="2" spans="1:4" ht="12.75">
      <c r="A2" t="s">
        <v>179</v>
      </c>
      <c r="B2" s="1">
        <v>65.5</v>
      </c>
      <c r="C2" s="1">
        <v>59.3</v>
      </c>
      <c r="D2">
        <f>B2-C2</f>
        <v>6.200000000000003</v>
      </c>
    </row>
    <row r="3" spans="1:4" ht="12.75">
      <c r="A3" t="s">
        <v>145</v>
      </c>
      <c r="B3" s="1">
        <v>80</v>
      </c>
      <c r="C3" s="1">
        <v>30</v>
      </c>
      <c r="D3">
        <f>SUM(B3:C3)</f>
        <v>110</v>
      </c>
    </row>
    <row r="4" spans="1:4" ht="12.75">
      <c r="A4" t="s">
        <v>141</v>
      </c>
      <c r="B4">
        <v>15.5</v>
      </c>
      <c r="C4">
        <v>12.2</v>
      </c>
      <c r="D4">
        <f>SQRT(D5)</f>
        <v>14.686889467216066</v>
      </c>
    </row>
    <row r="5" spans="1:4" ht="12.75">
      <c r="A5" t="s">
        <v>142</v>
      </c>
      <c r="B5">
        <f>B4*B4</f>
        <v>240.25</v>
      </c>
      <c r="C5">
        <f>C4*C4</f>
        <v>148.83999999999997</v>
      </c>
      <c r="D5">
        <f>(B5*(B3-1)+C5*(C3-1))/(B3+C3-2)</f>
        <v>215.70472222222222</v>
      </c>
    </row>
    <row r="6" spans="1:4" ht="12.75">
      <c r="A6" t="s">
        <v>181</v>
      </c>
      <c r="B6">
        <f>B4/SQRT(B3)</f>
        <v>1.732952682562337</v>
      </c>
      <c r="C6">
        <f>C4/SQRT(C3)</f>
        <v>2.2274050671876755</v>
      </c>
      <c r="D6">
        <f>D4/SQRT(D3)</f>
        <v>1.4003399659375648</v>
      </c>
    </row>
    <row r="7" spans="1:4" ht="12.75">
      <c r="A7" t="s">
        <v>182</v>
      </c>
      <c r="D7">
        <f>D2/D6</f>
        <v>4.427496287195472</v>
      </c>
    </row>
    <row r="8" spans="1:4" ht="12.75">
      <c r="A8" t="s">
        <v>180</v>
      </c>
      <c r="D8" s="8">
        <f>TDIST(ABS(D7),B3-2,2)</f>
        <v>3.064016879715254E-05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18.375" style="0" customWidth="1"/>
  </cols>
  <sheetData>
    <row r="1" spans="1:4" ht="12.75">
      <c r="A1" t="s">
        <v>78</v>
      </c>
      <c r="B1">
        <v>1</v>
      </c>
      <c r="C1">
        <v>2</v>
      </c>
      <c r="D1" t="s">
        <v>198</v>
      </c>
    </row>
    <row r="2" spans="1:4" ht="12.75">
      <c r="A2" t="s">
        <v>179</v>
      </c>
      <c r="B2" s="1">
        <v>65.5</v>
      </c>
      <c r="C2" s="1">
        <v>59.3</v>
      </c>
      <c r="D2">
        <f>B2-C2</f>
        <v>6.200000000000003</v>
      </c>
    </row>
    <row r="3" spans="1:3" ht="12.75">
      <c r="A3" t="s">
        <v>145</v>
      </c>
      <c r="B3" s="1">
        <v>80</v>
      </c>
      <c r="C3" s="1">
        <v>30</v>
      </c>
    </row>
    <row r="4" spans="1:3" ht="12.75">
      <c r="A4" t="s">
        <v>141</v>
      </c>
      <c r="B4">
        <v>15.5</v>
      </c>
      <c r="C4">
        <v>12.2</v>
      </c>
    </row>
    <row r="5" spans="1:3" ht="12.75">
      <c r="A5" t="s">
        <v>142</v>
      </c>
      <c r="B5">
        <f>B4*B4</f>
        <v>240.25</v>
      </c>
      <c r="C5">
        <f>C4*C4</f>
        <v>148.83999999999997</v>
      </c>
    </row>
    <row r="6" spans="1:4" ht="12.75">
      <c r="A6" t="s">
        <v>181</v>
      </c>
      <c r="B6">
        <f>B4/SQRT(B3)</f>
        <v>1.732952682562337</v>
      </c>
      <c r="C6">
        <f>C4/SQRT(C3)</f>
        <v>2.2274050671876755</v>
      </c>
      <c r="D6">
        <f>SQRT(B6*B6+C6*C6)</f>
        <v>2.8221371925073617</v>
      </c>
    </row>
    <row r="7" spans="1:4" ht="12.75">
      <c r="A7" t="s">
        <v>182</v>
      </c>
      <c r="D7">
        <f>D2/D6</f>
        <v>2.196916583807727</v>
      </c>
    </row>
    <row r="8" spans="1:4" ht="12.75">
      <c r="A8" t="s">
        <v>180</v>
      </c>
      <c r="D8" s="8">
        <f>NORMSDIST(-ABS(D7))</f>
        <v>0.014013202114026457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6.75390625" style="0" customWidth="1"/>
  </cols>
  <sheetData>
    <row r="1" spans="1:2" ht="12.75">
      <c r="A1" t="s">
        <v>202</v>
      </c>
      <c r="B1" s="1">
        <v>0.72</v>
      </c>
    </row>
    <row r="2" spans="1:2" ht="12.75">
      <c r="A2" t="s">
        <v>203</v>
      </c>
      <c r="B2" s="1">
        <v>0.8</v>
      </c>
    </row>
    <row r="3" spans="1:2" ht="12.75">
      <c r="A3" t="s">
        <v>204</v>
      </c>
      <c r="B3" s="1">
        <v>220</v>
      </c>
    </row>
    <row r="4" spans="1:2" ht="12.75">
      <c r="A4" t="s">
        <v>205</v>
      </c>
      <c r="B4">
        <f>FISHER(B1)</f>
        <v>0.9076449833191245</v>
      </c>
    </row>
    <row r="5" spans="1:2" ht="12.75">
      <c r="A5" t="s">
        <v>206</v>
      </c>
      <c r="B5">
        <f>FISHER(B2)</f>
        <v>1.0986122886681098</v>
      </c>
    </row>
    <row r="6" spans="1:2" ht="12.75">
      <c r="A6" t="s">
        <v>182</v>
      </c>
      <c r="B6">
        <f>(B4-B5)*SQRT(B3-2)</f>
        <v>-2.8195984737673316</v>
      </c>
    </row>
    <row r="7" spans="1:2" ht="12.75">
      <c r="A7" t="s">
        <v>180</v>
      </c>
      <c r="B7" s="8">
        <f>NORMSDIST(-ABS(B6))</f>
        <v>0.0024041887454087085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G13" sqref="G13:H13"/>
    </sheetView>
  </sheetViews>
  <sheetFormatPr defaultColWidth="9.00390625" defaultRowHeight="12.75"/>
  <cols>
    <col min="1" max="1" width="27.625" style="0" customWidth="1"/>
  </cols>
  <sheetData>
    <row r="1" spans="1:2" ht="12.75">
      <c r="A1" t="s">
        <v>202</v>
      </c>
      <c r="B1" s="1">
        <v>0.72</v>
      </c>
    </row>
    <row r="2" spans="1:2" ht="12.75">
      <c r="A2" t="s">
        <v>204</v>
      </c>
      <c r="B2" s="1">
        <v>80</v>
      </c>
    </row>
    <row r="3" spans="1:2" ht="12.75">
      <c r="A3" t="s">
        <v>180</v>
      </c>
      <c r="B3" s="1">
        <v>0.05</v>
      </c>
    </row>
    <row r="4" spans="1:2" ht="12.75">
      <c r="A4" t="s">
        <v>208</v>
      </c>
      <c r="B4">
        <f>FISHER(B1)</f>
        <v>0.9076449833191245</v>
      </c>
    </row>
    <row r="5" spans="1:2" ht="12.75">
      <c r="A5" t="s">
        <v>182</v>
      </c>
      <c r="B5">
        <f>NORMSINV(B3/2)</f>
        <v>-1.9599639845400545</v>
      </c>
    </row>
    <row r="6" spans="1:2" ht="12.75">
      <c r="A6" t="s">
        <v>209</v>
      </c>
      <c r="B6">
        <f>-B5/SQRT(B2-2)</f>
        <v>0.2219222207445237</v>
      </c>
    </row>
    <row r="7" spans="1:2" ht="12.75">
      <c r="A7" t="s">
        <v>210</v>
      </c>
      <c r="B7">
        <f>B4+B6</f>
        <v>1.1295672040636482</v>
      </c>
    </row>
    <row r="8" spans="1:2" ht="12.75">
      <c r="A8" t="s">
        <v>211</v>
      </c>
      <c r="B8">
        <f>B4-B6</f>
        <v>0.6857227625746007</v>
      </c>
    </row>
    <row r="9" spans="1:2" ht="12.75">
      <c r="A9" t="s">
        <v>212</v>
      </c>
      <c r="B9" s="10">
        <f>FISHERINV(B7)</f>
        <v>0.8108710866602482</v>
      </c>
    </row>
    <row r="10" spans="1:2" ht="12.75">
      <c r="A10" t="s">
        <v>213</v>
      </c>
      <c r="B10" s="10">
        <f>FISHERINV(B8)</f>
        <v>0.5952271990228252</v>
      </c>
    </row>
    <row r="11" spans="1:2" ht="12.75">
      <c r="A11" t="s">
        <v>23</v>
      </c>
      <c r="B11" s="4">
        <f>B9-B1</f>
        <v>0.09087108666024823</v>
      </c>
    </row>
    <row r="12" spans="1:2" ht="12.75">
      <c r="A12" t="s">
        <v>22</v>
      </c>
      <c r="B12" s="4">
        <f>B1-B10</f>
        <v>0.1247728009771748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7.25390625" style="0" customWidth="1"/>
  </cols>
  <sheetData>
    <row r="1" spans="1:4" ht="12.75">
      <c r="A1" t="s">
        <v>78</v>
      </c>
      <c r="B1" s="1">
        <v>1</v>
      </c>
      <c r="C1" s="1">
        <v>2</v>
      </c>
      <c r="D1" t="s">
        <v>198</v>
      </c>
    </row>
    <row r="2" spans="1:3" ht="12.75">
      <c r="A2" t="s">
        <v>215</v>
      </c>
      <c r="B2" s="1">
        <v>0.72</v>
      </c>
      <c r="C2" s="1">
        <v>0.88</v>
      </c>
    </row>
    <row r="3" spans="1:3" ht="12.75">
      <c r="A3" t="s">
        <v>204</v>
      </c>
      <c r="B3" s="1">
        <v>80</v>
      </c>
      <c r="C3" s="1">
        <v>140</v>
      </c>
    </row>
    <row r="4" spans="1:4" ht="12.75">
      <c r="A4" t="s">
        <v>216</v>
      </c>
      <c r="B4">
        <f>FISHER(B2)</f>
        <v>0.9076449833191245</v>
      </c>
      <c r="C4">
        <f>FISHER(C2)</f>
        <v>1.3757676565209744</v>
      </c>
      <c r="D4">
        <f>B4-C4</f>
        <v>-0.46812267320184997</v>
      </c>
    </row>
    <row r="5" spans="1:4" ht="12.75">
      <c r="A5" t="s">
        <v>217</v>
      </c>
      <c r="B5">
        <f>1/SQRT(B3-2)</f>
        <v>0.11322770341445956</v>
      </c>
      <c r="C5">
        <f>1/SQRT(C3-2)</f>
        <v>0.08512565307587486</v>
      </c>
      <c r="D5">
        <f>SQRT(B5*B5+C5*C5)</f>
        <v>0.14165764939496567</v>
      </c>
    </row>
    <row r="6" spans="1:4" ht="12.75">
      <c r="A6" t="s">
        <v>182</v>
      </c>
      <c r="D6">
        <f>D4/D5</f>
        <v>-3.3046056827940453</v>
      </c>
    </row>
    <row r="7" spans="1:4" ht="12.75">
      <c r="A7" t="s">
        <v>180</v>
      </c>
      <c r="D7" s="4">
        <f>NORMSDIST(-ABS(D6))</f>
        <v>0.0004755505501610191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36.25390625" style="0" customWidth="1"/>
  </cols>
  <sheetData>
    <row r="1" spans="1:2" ht="12.75">
      <c r="A1" t="s">
        <v>221</v>
      </c>
      <c r="B1" s="1">
        <v>23.5</v>
      </c>
    </row>
    <row r="2" spans="1:2" ht="12.75">
      <c r="A2" t="s">
        <v>222</v>
      </c>
      <c r="B2" s="1">
        <v>0.83</v>
      </c>
    </row>
    <row r="3" spans="1:2" ht="12.75">
      <c r="A3" t="s">
        <v>223</v>
      </c>
      <c r="B3" s="1">
        <v>10</v>
      </c>
    </row>
    <row r="4" spans="1:2" ht="12.75">
      <c r="A4" t="s">
        <v>220</v>
      </c>
      <c r="B4">
        <f>B1*B1</f>
        <v>552.25</v>
      </c>
    </row>
    <row r="5" spans="1:2" ht="12.75">
      <c r="A5" t="s">
        <v>219</v>
      </c>
      <c r="B5">
        <f>(1-B2*B2)*B4</f>
        <v>171.804975</v>
      </c>
    </row>
    <row r="6" spans="1:2" ht="12.75">
      <c r="A6" t="s">
        <v>224</v>
      </c>
      <c r="B6">
        <f>B3*B3</f>
        <v>100</v>
      </c>
    </row>
    <row r="7" spans="1:2" ht="12.75">
      <c r="A7" t="s">
        <v>225</v>
      </c>
      <c r="B7">
        <f>B4-B6</f>
        <v>452.25</v>
      </c>
    </row>
    <row r="8" spans="1:2" ht="12.75">
      <c r="A8" t="s">
        <v>226</v>
      </c>
      <c r="B8">
        <f>B5-B6</f>
        <v>71.80497500000001</v>
      </c>
    </row>
    <row r="9" spans="1:2" ht="12.75">
      <c r="A9" t="s">
        <v>227</v>
      </c>
      <c r="B9" s="4">
        <f>SQRT(1-B8/B7)*SIGN(B2)</f>
        <v>0.9171844158214639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36.375" style="0" customWidth="1"/>
  </cols>
  <sheetData>
    <row r="1" spans="1:2" ht="12.75">
      <c r="A1" t="s">
        <v>229</v>
      </c>
      <c r="B1" s="1">
        <v>0.4</v>
      </c>
    </row>
    <row r="2" spans="1:2" ht="12.75">
      <c r="A2" t="s">
        <v>230</v>
      </c>
      <c r="B2" s="4">
        <f>SQRT(2*B1/(1+B1))</f>
        <v>0.7559289460184545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1.375" style="0" customWidth="1"/>
    <col min="2" max="2" width="18.25390625" style="0" customWidth="1"/>
    <col min="4" max="4" width="14.125" style="0" customWidth="1"/>
    <col min="5" max="5" width="13.875" style="0" customWidth="1"/>
  </cols>
  <sheetData>
    <row r="1" spans="1:5" ht="12.75">
      <c r="A1" t="s">
        <v>15</v>
      </c>
      <c r="B1" t="s">
        <v>20</v>
      </c>
      <c r="C1" t="s">
        <v>21</v>
      </c>
      <c r="D1" t="s">
        <v>22</v>
      </c>
      <c r="E1" t="s">
        <v>23</v>
      </c>
    </row>
    <row r="2" spans="1:5" ht="12.75">
      <c r="A2" s="1" t="s">
        <v>17</v>
      </c>
      <c r="B2" s="1">
        <v>275</v>
      </c>
      <c r="C2" s="2">
        <f>B2/$B$6</f>
        <v>0.7051282051282052</v>
      </c>
      <c r="D2" s="2">
        <v>0.0479</v>
      </c>
      <c r="E2" s="2">
        <v>0.0448</v>
      </c>
    </row>
    <row r="3" spans="1:5" ht="12.75">
      <c r="A3" s="1" t="s">
        <v>18</v>
      </c>
      <c r="B3" s="1">
        <v>48</v>
      </c>
      <c r="C3" s="2">
        <f>B3/$B$6</f>
        <v>0.12307692307692308</v>
      </c>
      <c r="D3" s="2">
        <v>0.0309</v>
      </c>
      <c r="E3" s="2">
        <v>0.0368</v>
      </c>
    </row>
    <row r="4" spans="1:5" ht="12.75">
      <c r="A4" s="1" t="s">
        <v>19</v>
      </c>
      <c r="B4" s="1">
        <v>38</v>
      </c>
      <c r="C4" s="2">
        <f>B4/$B$6</f>
        <v>0.09743589743589744</v>
      </c>
      <c r="D4" s="2">
        <v>0.0276</v>
      </c>
      <c r="E4" s="2">
        <v>0.0338</v>
      </c>
    </row>
    <row r="5" spans="1:5" ht="12.75">
      <c r="A5" s="1" t="s">
        <v>16</v>
      </c>
      <c r="B5" s="1">
        <v>29</v>
      </c>
      <c r="C5" s="2">
        <f>B5/$B$6</f>
        <v>0.07435897435897436</v>
      </c>
      <c r="D5" s="2">
        <v>0.024</v>
      </c>
      <c r="E5" s="2">
        <v>0.0307</v>
      </c>
    </row>
    <row r="6" spans="1:2" ht="12.75">
      <c r="A6" t="s">
        <v>4</v>
      </c>
      <c r="B6">
        <f>SUM(B2:B5)</f>
        <v>390</v>
      </c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6">
      <selection activeCell="H26" sqref="H26"/>
    </sheetView>
  </sheetViews>
  <sheetFormatPr defaultColWidth="9.00390625" defaultRowHeight="12.75"/>
  <cols>
    <col min="2" max="2" width="13.25390625" style="0" customWidth="1"/>
  </cols>
  <sheetData>
    <row r="1" spans="1:8" ht="12.75">
      <c r="A1" s="3" t="s">
        <v>232</v>
      </c>
      <c r="B1" s="3"/>
      <c r="C1" s="3"/>
      <c r="D1" s="3"/>
      <c r="E1" s="3"/>
      <c r="F1" s="3"/>
      <c r="G1" s="3"/>
      <c r="H1" t="s">
        <v>250</v>
      </c>
    </row>
    <row r="2" spans="1:7" ht="12.75">
      <c r="A2" s="3"/>
      <c r="B2" s="3"/>
      <c r="C2" s="3" t="s">
        <v>233</v>
      </c>
      <c r="D2" s="3"/>
      <c r="E2" s="3" t="s">
        <v>234</v>
      </c>
      <c r="F2" s="3" t="s">
        <v>235</v>
      </c>
      <c r="G2" s="3" t="s">
        <v>236</v>
      </c>
    </row>
    <row r="3" spans="1:7" ht="12.75">
      <c r="A3" s="3" t="s">
        <v>237</v>
      </c>
      <c r="B3" s="3"/>
      <c r="C3" s="3" t="s">
        <v>18</v>
      </c>
      <c r="D3" s="3" t="s">
        <v>238</v>
      </c>
      <c r="E3" s="3" t="s">
        <v>239</v>
      </c>
      <c r="F3" s="3"/>
      <c r="G3" s="3"/>
    </row>
    <row r="4" spans="1:9" ht="12.75">
      <c r="A4" s="3">
        <v>1</v>
      </c>
      <c r="B4" s="3" t="s">
        <v>240</v>
      </c>
      <c r="C4" s="3">
        <v>1.6834597163584781</v>
      </c>
      <c r="D4" s="3">
        <v>0.16395360775629014</v>
      </c>
      <c r="E4" s="3"/>
      <c r="F4" s="3">
        <v>10.267902850060288</v>
      </c>
      <c r="G4" s="3">
        <v>1.5613048064257786E-22</v>
      </c>
      <c r="I4">
        <f>C4</f>
        <v>1.6834597163584781</v>
      </c>
    </row>
    <row r="5" spans="1:9" ht="12.75">
      <c r="A5" s="3"/>
      <c r="B5" s="3" t="s">
        <v>241</v>
      </c>
      <c r="C5" s="3">
        <v>0.42332051726355363</v>
      </c>
      <c r="D5" s="3">
        <v>0.04452752245966108</v>
      </c>
      <c r="E5" s="3">
        <v>0.20457238149686607</v>
      </c>
      <c r="F5" s="3">
        <v>9.506940738664571</v>
      </c>
      <c r="G5" s="3">
        <v>1.3438087564741907E-20</v>
      </c>
      <c r="H5" s="1">
        <v>0.474</v>
      </c>
      <c r="I5">
        <f>C5*H5</f>
        <v>0.2006539251829244</v>
      </c>
    </row>
    <row r="6" spans="1:9" ht="12.75">
      <c r="A6" s="3"/>
      <c r="B6" s="3" t="s">
        <v>29</v>
      </c>
      <c r="C6" s="3">
        <v>-0.5452570512505096</v>
      </c>
      <c r="D6" s="3">
        <v>0.022597419524011633</v>
      </c>
      <c r="E6" s="3">
        <v>-0.5540581267374551</v>
      </c>
      <c r="F6" s="3">
        <v>-24.129173274458562</v>
      </c>
      <c r="G6" s="3">
        <v>1.5613048064257786E-22</v>
      </c>
      <c r="H6" s="1">
        <v>1</v>
      </c>
      <c r="I6">
        <f aca="true" t="shared" si="0" ref="I6:I12">C6*H6</f>
        <v>-0.5452570512505096</v>
      </c>
    </row>
    <row r="7" spans="1:9" ht="12.75">
      <c r="A7" s="3"/>
      <c r="B7" s="3" t="s">
        <v>242</v>
      </c>
      <c r="C7" s="3">
        <v>0.009433149983612282</v>
      </c>
      <c r="D7" s="3">
        <v>0.001936530827730541</v>
      </c>
      <c r="E7" s="3">
        <v>0.10595665159477051</v>
      </c>
      <c r="F7" s="3">
        <v>4.871159213441068</v>
      </c>
      <c r="G7" s="3">
        <v>1.2850443014131408E-06</v>
      </c>
      <c r="H7" s="1">
        <v>20</v>
      </c>
      <c r="I7">
        <f t="shared" si="0"/>
        <v>0.18866299967224565</v>
      </c>
    </row>
    <row r="8" spans="1:9" ht="12.75">
      <c r="A8" s="3"/>
      <c r="B8" s="3" t="s">
        <v>243</v>
      </c>
      <c r="C8" s="3">
        <v>-0.0023118226947807406</v>
      </c>
      <c r="D8" s="3">
        <v>0.000533676877230695</v>
      </c>
      <c r="E8" s="3">
        <v>-0.09307389936415719</v>
      </c>
      <c r="F8" s="3">
        <v>-4.331877196510799</v>
      </c>
      <c r="G8" s="3">
        <v>1.6241884233966784E-05</v>
      </c>
      <c r="H8" s="1">
        <v>80</v>
      </c>
      <c r="I8">
        <f t="shared" si="0"/>
        <v>-0.18494581558245926</v>
      </c>
    </row>
    <row r="9" spans="1:9" ht="12.75">
      <c r="A9" s="3"/>
      <c r="B9" s="3" t="s">
        <v>244</v>
      </c>
      <c r="C9" s="3">
        <v>-0.1293961914362871</v>
      </c>
      <c r="D9" s="3">
        <v>0.037510979696837754</v>
      </c>
      <c r="E9" s="3">
        <v>-0.06747727006977723</v>
      </c>
      <c r="F9" s="3">
        <v>-3.4495551031207925</v>
      </c>
      <c r="G9" s="3">
        <v>0.000584435933369321</v>
      </c>
      <c r="H9" s="1">
        <v>1</v>
      </c>
      <c r="I9">
        <f t="shared" si="0"/>
        <v>-0.1293961914362871</v>
      </c>
    </row>
    <row r="10" spans="1:9" ht="12.75">
      <c r="A10" s="3"/>
      <c r="B10" s="3" t="s">
        <v>245</v>
      </c>
      <c r="C10" s="3">
        <v>0.0010896095278587871</v>
      </c>
      <c r="D10" s="3">
        <v>0.000335931543443519</v>
      </c>
      <c r="E10" s="3">
        <v>0.06607771784224915</v>
      </c>
      <c r="F10" s="3">
        <v>3.2435463389045687</v>
      </c>
      <c r="G10" s="3">
        <v>0.0012187530814670256</v>
      </c>
      <c r="H10" s="1">
        <v>65</v>
      </c>
      <c r="I10">
        <f t="shared" si="0"/>
        <v>0.07082461931082117</v>
      </c>
    </row>
    <row r="11" spans="1:9" ht="12.75">
      <c r="A11" s="3"/>
      <c r="B11" s="3" t="s">
        <v>246</v>
      </c>
      <c r="C11" s="3">
        <v>-0.0714327996641789</v>
      </c>
      <c r="D11" s="3">
        <v>0.02348560021565227</v>
      </c>
      <c r="E11" s="3">
        <v>-0.0613203314199968</v>
      </c>
      <c r="F11" s="3">
        <v>-3.0415573376136935</v>
      </c>
      <c r="G11" s="3">
        <v>0.0024136147410392895</v>
      </c>
      <c r="H11" s="1">
        <v>1</v>
      </c>
      <c r="I11">
        <f t="shared" si="0"/>
        <v>-0.0714327996641789</v>
      </c>
    </row>
    <row r="12" spans="1:9" ht="12.75">
      <c r="A12" s="3"/>
      <c r="B12" s="3" t="s">
        <v>247</v>
      </c>
      <c r="C12" s="3">
        <v>-0.14967404697870623</v>
      </c>
      <c r="D12" s="3">
        <v>0.05545392227183189</v>
      </c>
      <c r="E12" s="3">
        <v>-0.05242174678494299</v>
      </c>
      <c r="F12" s="3">
        <v>-2.699070522820961</v>
      </c>
      <c r="G12" s="3">
        <v>0.007068057978600617</v>
      </c>
      <c r="H12" s="1">
        <v>1</v>
      </c>
      <c r="I12">
        <f t="shared" si="0"/>
        <v>-0.14967404697870623</v>
      </c>
    </row>
    <row r="13" spans="1:7" ht="12.75">
      <c r="A13" s="3" t="s">
        <v>248</v>
      </c>
      <c r="B13" s="3" t="s">
        <v>249</v>
      </c>
      <c r="C13" s="3"/>
      <c r="D13" s="3"/>
      <c r="E13" s="3"/>
      <c r="F13" s="3"/>
      <c r="G13" s="3"/>
    </row>
    <row r="17" ht="12.75">
      <c r="A17" t="s">
        <v>251</v>
      </c>
    </row>
    <row r="18" ht="12.75">
      <c r="A18" s="4">
        <f>SUM(I4:I12)</f>
        <v>1.0628953556123282</v>
      </c>
    </row>
    <row r="19" spans="1:5" ht="12.75">
      <c r="A19" s="3" t="s">
        <v>252</v>
      </c>
      <c r="B19" s="3"/>
      <c r="C19" s="3"/>
      <c r="D19" s="3"/>
      <c r="E19" s="3"/>
    </row>
    <row r="20" spans="1:5" ht="12.75">
      <c r="A20" s="3" t="s">
        <v>24</v>
      </c>
      <c r="B20" s="3"/>
      <c r="C20" s="3"/>
      <c r="D20" s="3"/>
      <c r="E20" s="3"/>
    </row>
    <row r="21" spans="1:5" ht="12.75">
      <c r="A21" s="3"/>
      <c r="B21" s="3"/>
      <c r="C21" s="3" t="s">
        <v>253</v>
      </c>
      <c r="D21" s="3"/>
      <c r="E21" s="3" t="s">
        <v>25</v>
      </c>
    </row>
    <row r="22" spans="1:5" ht="12.75">
      <c r="A22" s="3"/>
      <c r="B22" s="3"/>
      <c r="C22" s="3">
        <v>0</v>
      </c>
      <c r="D22" s="3">
        <v>1</v>
      </c>
      <c r="E22" s="3"/>
    </row>
    <row r="23" spans="1:6" ht="12.75">
      <c r="A23" s="3" t="s">
        <v>254</v>
      </c>
      <c r="B23" s="3">
        <v>-0.1</v>
      </c>
      <c r="C23" s="3">
        <v>1</v>
      </c>
      <c r="D23" s="3"/>
      <c r="E23" s="3">
        <v>1</v>
      </c>
      <c r="F23">
        <f>D23/E23</f>
        <v>0</v>
      </c>
    </row>
    <row r="24" spans="1:6" ht="12.75">
      <c r="A24" s="3"/>
      <c r="B24" s="3">
        <v>0</v>
      </c>
      <c r="C24" s="3">
        <v>789</v>
      </c>
      <c r="D24" s="3">
        <v>4</v>
      </c>
      <c r="E24" s="3">
        <v>793</v>
      </c>
      <c r="F24">
        <f aca="true" t="shared" si="1" ref="F24:F36">D24/E24</f>
        <v>0.005044136191677175</v>
      </c>
    </row>
    <row r="25" spans="1:6" ht="12.75">
      <c r="A25" s="3"/>
      <c r="B25" s="3">
        <v>0.1</v>
      </c>
      <c r="C25" s="3">
        <v>71</v>
      </c>
      <c r="D25" s="3">
        <v>7</v>
      </c>
      <c r="E25" s="3">
        <v>78</v>
      </c>
      <c r="F25">
        <f t="shared" si="1"/>
        <v>0.08974358974358974</v>
      </c>
    </row>
    <row r="26" spans="1:6" ht="12.75">
      <c r="A26" s="3"/>
      <c r="B26" s="3">
        <v>0.2</v>
      </c>
      <c r="C26" s="3">
        <v>28</v>
      </c>
      <c r="D26" s="3">
        <v>6</v>
      </c>
      <c r="E26" s="3">
        <v>34</v>
      </c>
      <c r="F26">
        <f t="shared" si="1"/>
        <v>0.17647058823529413</v>
      </c>
    </row>
    <row r="27" spans="1:6" ht="12.75">
      <c r="A27" s="3"/>
      <c r="B27" s="3">
        <v>0.3</v>
      </c>
      <c r="C27" s="3">
        <v>6</v>
      </c>
      <c r="D27" s="3">
        <v>6</v>
      </c>
      <c r="E27" s="3">
        <v>12</v>
      </c>
      <c r="F27">
        <f t="shared" si="1"/>
        <v>0.5</v>
      </c>
    </row>
    <row r="28" spans="1:6" ht="12.75">
      <c r="A28" s="3"/>
      <c r="B28" s="3">
        <v>0.4</v>
      </c>
      <c r="C28" s="3">
        <v>1</v>
      </c>
      <c r="D28" s="3">
        <v>1</v>
      </c>
      <c r="E28" s="3">
        <v>2</v>
      </c>
      <c r="F28">
        <f t="shared" si="1"/>
        <v>0.5</v>
      </c>
    </row>
    <row r="29" spans="1:6" ht="12.75">
      <c r="A29" s="3"/>
      <c r="B29" s="3">
        <v>0.5</v>
      </c>
      <c r="C29" s="3">
        <v>10</v>
      </c>
      <c r="D29" s="3">
        <v>5</v>
      </c>
      <c r="E29" s="3">
        <v>15</v>
      </c>
      <c r="F29">
        <f t="shared" si="1"/>
        <v>0.3333333333333333</v>
      </c>
    </row>
    <row r="30" spans="1:6" ht="12.75">
      <c r="A30" s="3"/>
      <c r="B30" s="3">
        <v>0.6</v>
      </c>
      <c r="C30" s="3">
        <v>10</v>
      </c>
      <c r="D30" s="3">
        <v>16</v>
      </c>
      <c r="E30" s="3">
        <v>26</v>
      </c>
      <c r="F30">
        <f t="shared" si="1"/>
        <v>0.6153846153846154</v>
      </c>
    </row>
    <row r="31" spans="1:6" ht="12.75">
      <c r="A31" s="3"/>
      <c r="B31" s="3">
        <v>0.7</v>
      </c>
      <c r="C31" s="3">
        <v>5</v>
      </c>
      <c r="D31" s="3">
        <v>18</v>
      </c>
      <c r="E31" s="3">
        <v>23</v>
      </c>
      <c r="F31">
        <f t="shared" si="1"/>
        <v>0.782608695652174</v>
      </c>
    </row>
    <row r="32" spans="1:6" ht="12.75">
      <c r="A32" s="3"/>
      <c r="B32" s="3">
        <v>0.8</v>
      </c>
      <c r="C32" s="3">
        <v>2</v>
      </c>
      <c r="D32" s="3">
        <v>31</v>
      </c>
      <c r="E32" s="3">
        <v>33</v>
      </c>
      <c r="F32">
        <f t="shared" si="1"/>
        <v>0.9393939393939394</v>
      </c>
    </row>
    <row r="33" spans="1:6" ht="12.75">
      <c r="A33" s="3"/>
      <c r="B33" s="3">
        <v>0.9</v>
      </c>
      <c r="C33" s="3"/>
      <c r="D33" s="3">
        <v>11</v>
      </c>
      <c r="E33" s="3">
        <v>11</v>
      </c>
      <c r="F33">
        <f t="shared" si="1"/>
        <v>1</v>
      </c>
    </row>
    <row r="34" spans="1:6" ht="12.75">
      <c r="A34" s="3"/>
      <c r="B34" s="3">
        <v>1</v>
      </c>
      <c r="C34" s="3"/>
      <c r="D34" s="3">
        <v>2</v>
      </c>
      <c r="E34" s="3">
        <v>2</v>
      </c>
      <c r="F34">
        <f t="shared" si="1"/>
        <v>1</v>
      </c>
    </row>
    <row r="35" spans="1:6" ht="12.75">
      <c r="A35" s="3"/>
      <c r="B35" s="3">
        <v>1.1</v>
      </c>
      <c r="C35" s="3"/>
      <c r="D35" s="3">
        <v>1</v>
      </c>
      <c r="E35" s="3">
        <v>1</v>
      </c>
      <c r="F35">
        <f t="shared" si="1"/>
        <v>1</v>
      </c>
    </row>
    <row r="36" spans="1:6" ht="12.75">
      <c r="A36" s="3" t="s">
        <v>25</v>
      </c>
      <c r="B36" s="3"/>
      <c r="C36" s="3">
        <v>923</v>
      </c>
      <c r="D36" s="3">
        <v>108</v>
      </c>
      <c r="E36" s="3">
        <v>1031</v>
      </c>
      <c r="F36">
        <f t="shared" si="1"/>
        <v>0.10475266731328807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17" sqref="G17"/>
    </sheetView>
  </sheetViews>
  <sheetFormatPr defaultColWidth="9.00390625" defaultRowHeight="12.75"/>
  <cols>
    <col min="6" max="6" width="13.25390625" style="0" customWidth="1"/>
    <col min="7" max="7" width="18.25390625" style="0" customWidth="1"/>
    <col min="8" max="8" width="18.00390625" style="0" customWidth="1"/>
  </cols>
  <sheetData>
    <row r="1" spans="1:8" ht="12.75">
      <c r="A1" s="3" t="s">
        <v>32</v>
      </c>
      <c r="B1" s="3"/>
      <c r="C1" s="3"/>
      <c r="D1" s="3"/>
      <c r="E1" s="3"/>
      <c r="F1" t="s">
        <v>26</v>
      </c>
      <c r="G1" t="s">
        <v>27</v>
      </c>
      <c r="H1" t="s">
        <v>28</v>
      </c>
    </row>
    <row r="2" spans="1:5" ht="12.75">
      <c r="A2" s="3" t="s">
        <v>24</v>
      </c>
      <c r="B2" s="3"/>
      <c r="C2" s="3"/>
      <c r="D2" s="3"/>
      <c r="E2" s="3"/>
    </row>
    <row r="3" spans="1:5" ht="12.75">
      <c r="A3" s="3"/>
      <c r="B3" s="3"/>
      <c r="C3" s="3" t="s">
        <v>29</v>
      </c>
      <c r="D3" s="3"/>
      <c r="E3" s="3" t="s">
        <v>25</v>
      </c>
    </row>
    <row r="4" spans="1:5" ht="12.75">
      <c r="A4" s="3"/>
      <c r="B4" s="3"/>
      <c r="C4" s="3" t="s">
        <v>30</v>
      </c>
      <c r="D4" s="3" t="s">
        <v>31</v>
      </c>
      <c r="E4" s="3"/>
    </row>
    <row r="5" spans="1:8" ht="12.75">
      <c r="A5" s="3" t="s">
        <v>33</v>
      </c>
      <c r="B5" s="3">
        <v>0</v>
      </c>
      <c r="C5" s="3">
        <v>1</v>
      </c>
      <c r="D5" s="3">
        <v>86</v>
      </c>
      <c r="E5" s="3">
        <v>87</v>
      </c>
      <c r="F5" s="2">
        <f>D5/E5</f>
        <v>0.9885057471264368</v>
      </c>
      <c r="G5" s="2">
        <f aca="true" t="shared" si="0" ref="G5:H9">C5/C$9</f>
        <v>0.008928571428571428</v>
      </c>
      <c r="H5" s="2">
        <f t="shared" si="0"/>
        <v>0.09347826086956522</v>
      </c>
    </row>
    <row r="6" spans="1:8" ht="12.75">
      <c r="A6" s="3"/>
      <c r="B6" s="3">
        <v>25</v>
      </c>
      <c r="C6" s="3">
        <v>38</v>
      </c>
      <c r="D6" s="3">
        <v>273</v>
      </c>
      <c r="E6" s="3">
        <v>311</v>
      </c>
      <c r="F6" s="2">
        <f>D6/E6</f>
        <v>0.8778135048231511</v>
      </c>
      <c r="G6" s="2">
        <f t="shared" si="0"/>
        <v>0.3392857142857143</v>
      </c>
      <c r="H6" s="2">
        <f t="shared" si="0"/>
        <v>0.2967391304347826</v>
      </c>
    </row>
    <row r="7" spans="1:8" ht="12.75">
      <c r="A7" s="3"/>
      <c r="B7" s="3">
        <v>50</v>
      </c>
      <c r="C7" s="3">
        <v>49</v>
      </c>
      <c r="D7" s="3">
        <v>414</v>
      </c>
      <c r="E7" s="3">
        <v>463</v>
      </c>
      <c r="F7" s="2">
        <f>D7/E7</f>
        <v>0.8941684665226782</v>
      </c>
      <c r="G7" s="2">
        <f t="shared" si="0"/>
        <v>0.4375</v>
      </c>
      <c r="H7" s="2">
        <f t="shared" si="0"/>
        <v>0.45</v>
      </c>
    </row>
    <row r="8" spans="1:8" ht="12.75">
      <c r="A8" s="3"/>
      <c r="B8" s="3">
        <v>75</v>
      </c>
      <c r="C8" s="3">
        <v>24</v>
      </c>
      <c r="D8" s="3">
        <v>147</v>
      </c>
      <c r="E8" s="3">
        <v>171</v>
      </c>
      <c r="F8" s="2">
        <f>D8/E8</f>
        <v>0.8596491228070176</v>
      </c>
      <c r="G8" s="2">
        <f t="shared" si="0"/>
        <v>0.21428571428571427</v>
      </c>
      <c r="H8" s="2">
        <f t="shared" si="0"/>
        <v>0.15978260869565217</v>
      </c>
    </row>
    <row r="9" spans="1:8" ht="12.75">
      <c r="A9" s="3" t="s">
        <v>25</v>
      </c>
      <c r="B9" s="3"/>
      <c r="C9" s="3">
        <v>112</v>
      </c>
      <c r="D9" s="3">
        <v>920</v>
      </c>
      <c r="E9" s="3">
        <v>1032</v>
      </c>
      <c r="F9" s="2">
        <f>D9/E9</f>
        <v>0.8914728682170543</v>
      </c>
      <c r="G9" s="2">
        <f t="shared" si="0"/>
        <v>1</v>
      </c>
      <c r="H9" s="2">
        <f t="shared" si="0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I7" sqref="I7"/>
    </sheetView>
  </sheetViews>
  <sheetFormatPr defaultColWidth="9.00390625" defaultRowHeight="12.75"/>
  <sheetData>
    <row r="1" spans="1:2" ht="12.75">
      <c r="A1" t="s">
        <v>36</v>
      </c>
      <c r="B1" s="1">
        <v>0.01</v>
      </c>
    </row>
    <row r="2" spans="1:2" ht="12.75">
      <c r="A2" t="s">
        <v>37</v>
      </c>
      <c r="B2" s="1">
        <v>0.95</v>
      </c>
    </row>
    <row r="3" spans="1:2" ht="12.75">
      <c r="A3" t="s">
        <v>38</v>
      </c>
      <c r="B3" s="1">
        <v>0.06</v>
      </c>
    </row>
    <row r="4" spans="1:2" ht="12.75">
      <c r="A4" t="s">
        <v>39</v>
      </c>
      <c r="B4">
        <f>1-B1</f>
        <v>0.99</v>
      </c>
    </row>
    <row r="5" spans="1:2" ht="12.75">
      <c r="A5" t="s">
        <v>40</v>
      </c>
      <c r="B5">
        <f>1-B2</f>
        <v>0.050000000000000044</v>
      </c>
    </row>
    <row r="6" spans="1:2" ht="12.75">
      <c r="A6" t="s">
        <v>41</v>
      </c>
      <c r="B6">
        <f>1-B3</f>
        <v>0.94</v>
      </c>
    </row>
    <row r="7" spans="1:2" ht="12.75">
      <c r="A7" t="s">
        <v>42</v>
      </c>
      <c r="B7">
        <f>B1*B2</f>
        <v>0.0095</v>
      </c>
    </row>
    <row r="8" spans="1:2" ht="12.75">
      <c r="A8" t="s">
        <v>43</v>
      </c>
      <c r="B8">
        <f>B1*B5</f>
        <v>0.0005000000000000004</v>
      </c>
    </row>
    <row r="9" spans="1:2" ht="12.75">
      <c r="A9" t="s">
        <v>44</v>
      </c>
      <c r="B9">
        <f>B3*B4</f>
        <v>0.059399999999999994</v>
      </c>
    </row>
    <row r="10" spans="1:2" ht="12.75">
      <c r="A10" t="s">
        <v>45</v>
      </c>
      <c r="B10">
        <f>B4*B6</f>
        <v>0.9306</v>
      </c>
    </row>
    <row r="11" spans="1:2" ht="12.75">
      <c r="A11" t="s">
        <v>46</v>
      </c>
      <c r="B11">
        <f>B7+B9</f>
        <v>0.06889999999999999</v>
      </c>
    </row>
    <row r="12" spans="1:2" ht="12.75">
      <c r="A12" t="s">
        <v>47</v>
      </c>
      <c r="B12">
        <f>B8+B10</f>
        <v>0.9311</v>
      </c>
    </row>
    <row r="13" spans="1:2" ht="12.75">
      <c r="A13" t="s">
        <v>48</v>
      </c>
      <c r="B13" s="4">
        <f>B7/B11</f>
        <v>0.13788098693759074</v>
      </c>
    </row>
    <row r="14" spans="1:2" ht="12.75">
      <c r="A14" t="s">
        <v>49</v>
      </c>
      <c r="B14" s="4">
        <f>B8/B12</f>
        <v>0.0005369992482010529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1.25390625" style="0" customWidth="1"/>
    <col min="2" max="2" width="12.375" style="0" bestFit="1" customWidth="1"/>
  </cols>
  <sheetData>
    <row r="1" spans="1:2" ht="12.75">
      <c r="A1" t="s">
        <v>55</v>
      </c>
      <c r="B1" s="1">
        <v>0.95</v>
      </c>
    </row>
    <row r="2" spans="1:2" ht="12.75">
      <c r="A2" t="s">
        <v>56</v>
      </c>
      <c r="B2" s="1">
        <v>50</v>
      </c>
    </row>
    <row r="3" spans="1:2" ht="12.75">
      <c r="A3" t="s">
        <v>59</v>
      </c>
      <c r="B3" s="4">
        <f>POWER(B1,B2)</f>
        <v>0.0769449752767133</v>
      </c>
    </row>
    <row r="4" spans="1:2" ht="12.75">
      <c r="A4" t="s">
        <v>57</v>
      </c>
      <c r="B4" s="4">
        <f>1-B1</f>
        <v>0.050000000000000044</v>
      </c>
    </row>
    <row r="5" spans="1:2" ht="12.75">
      <c r="A5" t="s">
        <v>58</v>
      </c>
      <c r="B5" s="4">
        <f>POWER(B4,B2)</f>
        <v>8.881784197001648E-66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6.375" style="0" customWidth="1"/>
  </cols>
  <sheetData>
    <row r="1" ht="12.75">
      <c r="A1" t="s">
        <v>61</v>
      </c>
    </row>
    <row r="2" spans="1:2" ht="12.75">
      <c r="A2" t="s">
        <v>62</v>
      </c>
      <c r="B2" s="5">
        <v>0.01</v>
      </c>
    </row>
    <row r="3" spans="1:2" ht="12.75">
      <c r="A3" t="s">
        <v>63</v>
      </c>
      <c r="B3" s="5">
        <f>1-B2</f>
        <v>0.99</v>
      </c>
    </row>
    <row r="4" spans="1:2" ht="12.75">
      <c r="A4" t="s">
        <v>64</v>
      </c>
      <c r="B4">
        <f>B3*B3*B3*B3</f>
        <v>0.96059601</v>
      </c>
    </row>
    <row r="5" spans="1:2" ht="12.75">
      <c r="A5" t="s">
        <v>65</v>
      </c>
      <c r="B5">
        <f>B2*B3*B3*B3</f>
        <v>0.00970299</v>
      </c>
    </row>
    <row r="6" spans="1:2" ht="12.75">
      <c r="A6" t="s">
        <v>66</v>
      </c>
      <c r="B6">
        <f>4*B5</f>
        <v>0.03881196</v>
      </c>
    </row>
    <row r="7" spans="1:2" ht="12.75">
      <c r="A7" t="s">
        <v>67</v>
      </c>
      <c r="B7">
        <f>B4+B6</f>
        <v>0.9994079699999999</v>
      </c>
    </row>
    <row r="8" spans="1:2" ht="12.75">
      <c r="A8" t="s">
        <v>68</v>
      </c>
      <c r="B8" s="4">
        <f>1-B7</f>
        <v>0.0005920300000000767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8.25390625" style="0" customWidth="1"/>
    <col min="2" max="2" width="20.75390625" style="0" customWidth="1"/>
    <col min="3" max="3" width="25.125" style="0" customWidth="1"/>
    <col min="4" max="4" width="18.25390625" style="0" customWidth="1"/>
    <col min="5" max="5" width="18.375" style="0" customWidth="1"/>
  </cols>
  <sheetData>
    <row r="1" spans="1:3" ht="12.75">
      <c r="A1" t="s">
        <v>20</v>
      </c>
      <c r="B1" t="s">
        <v>71</v>
      </c>
      <c r="C1" t="s">
        <v>72</v>
      </c>
    </row>
    <row r="2" spans="1:5" ht="12.75">
      <c r="A2" s="5">
        <v>50</v>
      </c>
      <c r="C2" t="s">
        <v>73</v>
      </c>
      <c r="D2" t="s">
        <v>74</v>
      </c>
      <c r="E2" t="s">
        <v>75</v>
      </c>
    </row>
    <row r="3" spans="1:5" ht="12.75">
      <c r="A3" t="s">
        <v>70</v>
      </c>
      <c r="B3">
        <v>0</v>
      </c>
      <c r="C3">
        <f>BINOMDIST(B3,$A$2,$A$4,0)</f>
        <v>3.749262534817035E-24</v>
      </c>
      <c r="D3">
        <f>BINOMDIST(B3,$A$2,$A$4,1)</f>
        <v>3.749262534817035E-24</v>
      </c>
      <c r="E3">
        <v>1</v>
      </c>
    </row>
    <row r="4" spans="1:5" ht="12.75">
      <c r="A4" s="5">
        <v>0.66</v>
      </c>
      <c r="B4">
        <f>1+B3</f>
        <v>1</v>
      </c>
      <c r="C4">
        <f>BINOMDIST(B4,$A$2,$A$4,0)</f>
        <v>3.638990107322408E-22</v>
      </c>
      <c r="D4">
        <f>BINOMDIST(B4,$A$2,$A$4,1)</f>
        <v>3.676482732670578E-22</v>
      </c>
      <c r="E4">
        <f>E3-C3</f>
        <v>1</v>
      </c>
    </row>
    <row r="5" spans="2:5" ht="12.75">
      <c r="B5">
        <f aca="true" t="shared" si="0" ref="B5:B53">1+B4</f>
        <v>2</v>
      </c>
      <c r="C5">
        <f aca="true" t="shared" si="1" ref="C5:C53">BINOMDIST(B5,$A$2,$A$4,0)</f>
        <v>1.7306608833942237E-20</v>
      </c>
      <c r="D5">
        <f aca="true" t="shared" si="2" ref="D5:D53">BINOMDIST(B5,$A$2,$A$4,1)</f>
        <v>1.7674257107209295E-20</v>
      </c>
      <c r="E5">
        <f aca="true" t="shared" si="3" ref="E5:E53">E4-C4</f>
        <v>1</v>
      </c>
    </row>
    <row r="6" spans="2:5" ht="12.75">
      <c r="B6">
        <f t="shared" si="0"/>
        <v>3</v>
      </c>
      <c r="C6">
        <f t="shared" si="1"/>
        <v>5.375229096659694E-19</v>
      </c>
      <c r="D6">
        <f t="shared" si="2"/>
        <v>5.551971667731787E-19</v>
      </c>
      <c r="E6">
        <f t="shared" si="3"/>
        <v>1</v>
      </c>
    </row>
    <row r="7" spans="2:5" ht="12.75">
      <c r="B7">
        <f t="shared" si="0"/>
        <v>4</v>
      </c>
      <c r="C7">
        <f t="shared" si="1"/>
        <v>1.2260265189587009E-17</v>
      </c>
      <c r="D7">
        <f t="shared" si="2"/>
        <v>1.2815462356360188E-17</v>
      </c>
      <c r="E7">
        <f t="shared" si="3"/>
        <v>1</v>
      </c>
    </row>
    <row r="8" spans="2:5" ht="12.75">
      <c r="B8">
        <f t="shared" si="0"/>
        <v>5</v>
      </c>
      <c r="C8">
        <f t="shared" si="1"/>
        <v>2.189539124446255E-16</v>
      </c>
      <c r="D8">
        <f t="shared" si="2"/>
        <v>2.3176937480098566E-16</v>
      </c>
      <c r="E8">
        <f t="shared" si="3"/>
        <v>1</v>
      </c>
    </row>
    <row r="9" spans="2:5" ht="12.75">
      <c r="B9">
        <f t="shared" si="0"/>
        <v>6</v>
      </c>
      <c r="C9">
        <f t="shared" si="1"/>
        <v>3.187711372355569E-15</v>
      </c>
      <c r="D9">
        <f t="shared" si="2"/>
        <v>3.4194807471565548E-15</v>
      </c>
      <c r="E9">
        <f t="shared" si="3"/>
        <v>0.9999999999999998</v>
      </c>
    </row>
    <row r="10" spans="2:5" ht="12.75">
      <c r="B10">
        <f t="shared" si="0"/>
        <v>7</v>
      </c>
      <c r="C10">
        <f t="shared" si="1"/>
        <v>3.8895436240842653E-14</v>
      </c>
      <c r="D10">
        <f t="shared" si="2"/>
        <v>4.231491698799921E-14</v>
      </c>
      <c r="E10">
        <f t="shared" si="3"/>
        <v>0.9999999999999966</v>
      </c>
    </row>
    <row r="11" spans="2:5" ht="12.75">
      <c r="B11">
        <f t="shared" si="0"/>
        <v>8</v>
      </c>
      <c r="C11">
        <f t="shared" si="1"/>
        <v>4.0582811783644103E-13</v>
      </c>
      <c r="D11">
        <f t="shared" si="2"/>
        <v>4.4814303482444027E-13</v>
      </c>
      <c r="E11">
        <f t="shared" si="3"/>
        <v>0.9999999999999577</v>
      </c>
    </row>
    <row r="12" spans="2:5" ht="12.75">
      <c r="B12">
        <f t="shared" si="0"/>
        <v>9</v>
      </c>
      <c r="C12">
        <f t="shared" si="1"/>
        <v>3.676325302753635E-12</v>
      </c>
      <c r="D12">
        <f t="shared" si="2"/>
        <v>4.124468337578075E-12</v>
      </c>
      <c r="E12">
        <f t="shared" si="3"/>
        <v>0.9999999999995519</v>
      </c>
    </row>
    <row r="13" spans="2:5" ht="12.75">
      <c r="B13">
        <f t="shared" si="0"/>
        <v>10</v>
      </c>
      <c r="C13">
        <f t="shared" si="1"/>
        <v>2.925922432132737E-11</v>
      </c>
      <c r="D13">
        <f t="shared" si="2"/>
        <v>3.338369265890545E-11</v>
      </c>
      <c r="E13">
        <f t="shared" si="3"/>
        <v>0.9999999999958756</v>
      </c>
    </row>
    <row r="14" spans="2:5" ht="12.75">
      <c r="B14">
        <f t="shared" si="0"/>
        <v>11</v>
      </c>
      <c r="C14">
        <f t="shared" si="1"/>
        <v>2.0653570109172354E-10</v>
      </c>
      <c r="D14">
        <f t="shared" si="2"/>
        <v>2.3991939375062897E-10</v>
      </c>
      <c r="E14">
        <f t="shared" si="3"/>
        <v>0.9999999999666164</v>
      </c>
    </row>
    <row r="15" spans="2:5" ht="12.75">
      <c r="B15">
        <f t="shared" si="0"/>
        <v>12</v>
      </c>
      <c r="C15">
        <f t="shared" si="1"/>
        <v>1.302997290711018E-09</v>
      </c>
      <c r="D15">
        <f t="shared" si="2"/>
        <v>1.542916684461647E-09</v>
      </c>
      <c r="E15">
        <f t="shared" si="3"/>
        <v>0.9999999997600807</v>
      </c>
    </row>
    <row r="16" spans="2:5" ht="12.75">
      <c r="B16">
        <f t="shared" si="0"/>
        <v>13</v>
      </c>
      <c r="C16">
        <f t="shared" si="1"/>
        <v>7.3934778396000556E-09</v>
      </c>
      <c r="D16">
        <f t="shared" si="2"/>
        <v>8.936394524061703E-09</v>
      </c>
      <c r="E16">
        <f t="shared" si="3"/>
        <v>0.9999999984570834</v>
      </c>
    </row>
    <row r="17" spans="2:5" ht="12.75">
      <c r="B17">
        <f t="shared" si="0"/>
        <v>14</v>
      </c>
      <c r="C17">
        <f t="shared" si="1"/>
        <v>3.793040521912485E-08</v>
      </c>
      <c r="D17">
        <f t="shared" si="2"/>
        <v>4.686679974318655E-08</v>
      </c>
      <c r="E17">
        <f t="shared" si="3"/>
        <v>0.9999999910636056</v>
      </c>
    </row>
    <row r="18" spans="2:5" ht="12.75">
      <c r="B18">
        <f t="shared" si="0"/>
        <v>15</v>
      </c>
      <c r="C18">
        <f t="shared" si="1"/>
        <v>1.767110643149813E-07</v>
      </c>
      <c r="D18">
        <f t="shared" si="2"/>
        <v>2.2357786405816785E-07</v>
      </c>
      <c r="E18">
        <f t="shared" si="3"/>
        <v>0.9999999531332003</v>
      </c>
    </row>
    <row r="19" spans="2:5" ht="12.75">
      <c r="B19">
        <f t="shared" si="0"/>
        <v>16</v>
      </c>
      <c r="C19">
        <f t="shared" si="1"/>
        <v>7.503723503080989E-07</v>
      </c>
      <c r="D19">
        <f t="shared" si="2"/>
        <v>9.739502143662667E-07</v>
      </c>
      <c r="E19">
        <f t="shared" si="3"/>
        <v>0.999999776422136</v>
      </c>
    </row>
    <row r="20" spans="2:5" ht="12.75">
      <c r="B20">
        <f t="shared" si="0"/>
        <v>17</v>
      </c>
      <c r="C20">
        <f t="shared" si="1"/>
        <v>2.9132103011961626E-06</v>
      </c>
      <c r="D20">
        <f t="shared" si="2"/>
        <v>3.887160515562429E-06</v>
      </c>
      <c r="E20">
        <f t="shared" si="3"/>
        <v>0.9999990260497857</v>
      </c>
    </row>
    <row r="21" spans="2:5" ht="12.75">
      <c r="B21">
        <f t="shared" si="0"/>
        <v>18</v>
      </c>
      <c r="C21">
        <f t="shared" si="1"/>
        <v>1.0367601366021617E-05</v>
      </c>
      <c r="D21">
        <f t="shared" si="2"/>
        <v>1.4254761881584046E-05</v>
      </c>
      <c r="E21">
        <f t="shared" si="3"/>
        <v>0.9999961128394845</v>
      </c>
    </row>
    <row r="22" spans="2:5" ht="12.75">
      <c r="B22">
        <f t="shared" si="0"/>
        <v>19</v>
      </c>
      <c r="C22">
        <f t="shared" si="1"/>
        <v>3.389531592111082E-05</v>
      </c>
      <c r="D22">
        <f t="shared" si="2"/>
        <v>4.815007780269486E-05</v>
      </c>
      <c r="E22">
        <f t="shared" si="3"/>
        <v>0.9999857452381186</v>
      </c>
    </row>
    <row r="23" spans="2:5" ht="12.75">
      <c r="B23">
        <f t="shared" si="0"/>
        <v>20</v>
      </c>
      <c r="C23">
        <f t="shared" si="1"/>
        <v>0.00010198502408028386</v>
      </c>
      <c r="D23">
        <f t="shared" si="2"/>
        <v>0.00015013510188297872</v>
      </c>
      <c r="E23">
        <f t="shared" si="3"/>
        <v>0.9999518499221974</v>
      </c>
    </row>
    <row r="24" spans="2:5" ht="12.75">
      <c r="B24">
        <f t="shared" si="0"/>
        <v>21</v>
      </c>
      <c r="C24">
        <f t="shared" si="1"/>
        <v>0.0002828156129957448</v>
      </c>
      <c r="D24">
        <f t="shared" si="2"/>
        <v>0.00043295071487872347</v>
      </c>
      <c r="E24">
        <f t="shared" si="3"/>
        <v>0.9998498648981171</v>
      </c>
    </row>
    <row r="25" spans="2:5" ht="12.75">
      <c r="B25">
        <f t="shared" si="0"/>
        <v>22</v>
      </c>
      <c r="C25">
        <f t="shared" si="1"/>
        <v>0.0007236752450185233</v>
      </c>
      <c r="D25">
        <f t="shared" si="2"/>
        <v>0.0011566259598972469</v>
      </c>
      <c r="E25">
        <f t="shared" si="3"/>
        <v>0.9995670492851214</v>
      </c>
    </row>
    <row r="26" spans="2:5" ht="12.75">
      <c r="B26">
        <f t="shared" si="0"/>
        <v>23</v>
      </c>
      <c r="C26">
        <f t="shared" si="1"/>
        <v>0.0017101686097112918</v>
      </c>
      <c r="D26">
        <f t="shared" si="2"/>
        <v>0.002866794569608539</v>
      </c>
      <c r="E26">
        <f t="shared" si="3"/>
        <v>0.9988433740401029</v>
      </c>
    </row>
    <row r="27" spans="2:5" ht="12.75">
      <c r="B27">
        <f t="shared" si="0"/>
        <v>24</v>
      </c>
      <c r="C27">
        <f t="shared" si="1"/>
        <v>0.0037347064491489255</v>
      </c>
      <c r="D27">
        <f t="shared" si="2"/>
        <v>0.006601501018757464</v>
      </c>
      <c r="E27">
        <f t="shared" si="3"/>
        <v>0.9971332054303916</v>
      </c>
    </row>
    <row r="28" spans="2:5" ht="12.75">
      <c r="B28">
        <f t="shared" si="0"/>
        <v>25</v>
      </c>
      <c r="C28">
        <f t="shared" si="1"/>
        <v>0.007539713254987725</v>
      </c>
      <c r="D28">
        <f t="shared" si="2"/>
        <v>0.014141214273745189</v>
      </c>
      <c r="E28">
        <f t="shared" si="3"/>
        <v>0.9933984989812427</v>
      </c>
    </row>
    <row r="29" spans="2:5" ht="12.75">
      <c r="B29">
        <f t="shared" si="0"/>
        <v>26</v>
      </c>
      <c r="C29">
        <f t="shared" si="1"/>
        <v>0.014072994197658097</v>
      </c>
      <c r="D29">
        <f t="shared" si="2"/>
        <v>0.028214208471403285</v>
      </c>
      <c r="E29">
        <f t="shared" si="3"/>
        <v>0.985858785726255</v>
      </c>
    </row>
    <row r="30" spans="2:5" ht="12.75">
      <c r="B30">
        <f t="shared" si="0"/>
        <v>27</v>
      </c>
      <c r="C30">
        <f t="shared" si="1"/>
        <v>0.02428281351752766</v>
      </c>
      <c r="D30">
        <f t="shared" si="2"/>
        <v>0.05249702198893094</v>
      </c>
      <c r="E30">
        <f t="shared" si="3"/>
        <v>0.9717857915285969</v>
      </c>
    </row>
    <row r="31" spans="2:5" ht="12.75">
      <c r="B31">
        <f t="shared" si="0"/>
        <v>28</v>
      </c>
      <c r="C31">
        <f t="shared" si="1"/>
        <v>0.03871986441135187</v>
      </c>
      <c r="D31">
        <f t="shared" si="2"/>
        <v>0.0912168864002828</v>
      </c>
      <c r="E31">
        <f t="shared" si="3"/>
        <v>0.9475029780110692</v>
      </c>
    </row>
    <row r="32" spans="2:5" ht="12.75">
      <c r="B32">
        <f t="shared" si="0"/>
        <v>29</v>
      </c>
      <c r="C32">
        <f t="shared" si="1"/>
        <v>0.057019516354242454</v>
      </c>
      <c r="D32">
        <f t="shared" si="2"/>
        <v>0.14823640275452526</v>
      </c>
      <c r="E32">
        <f t="shared" si="3"/>
        <v>0.9087831135997173</v>
      </c>
    </row>
    <row r="33" spans="2:5" ht="12.75">
      <c r="B33">
        <f t="shared" si="0"/>
        <v>30</v>
      </c>
      <c r="C33">
        <f t="shared" si="1"/>
        <v>0.07747946045782331</v>
      </c>
      <c r="D33">
        <f t="shared" si="2"/>
        <v>0.22571586321234857</v>
      </c>
      <c r="E33">
        <f t="shared" si="3"/>
        <v>0.8517635972454749</v>
      </c>
    </row>
    <row r="34" spans="2:5" ht="12.75">
      <c r="B34">
        <f t="shared" si="0"/>
        <v>31</v>
      </c>
      <c r="C34">
        <f t="shared" si="1"/>
        <v>0.0970331003836119</v>
      </c>
      <c r="D34">
        <f t="shared" si="2"/>
        <v>0.3227489635959605</v>
      </c>
      <c r="E34">
        <f t="shared" si="3"/>
        <v>0.7742841367876516</v>
      </c>
    </row>
    <row r="35" spans="2:5" ht="12.75">
      <c r="B35">
        <f t="shared" si="0"/>
        <v>32</v>
      </c>
      <c r="C35">
        <f t="shared" si="1"/>
        <v>0.11183778297890577</v>
      </c>
      <c r="D35">
        <f t="shared" si="2"/>
        <v>0.4345867465748663</v>
      </c>
      <c r="E35">
        <f t="shared" si="3"/>
        <v>0.6772510364040397</v>
      </c>
    </row>
    <row r="36" spans="2:5" ht="12.75">
      <c r="B36">
        <f t="shared" si="0"/>
        <v>33</v>
      </c>
      <c r="C36">
        <f t="shared" si="1"/>
        <v>0.11841647609531154</v>
      </c>
      <c r="D36">
        <f t="shared" si="2"/>
        <v>0.5530032226701779</v>
      </c>
      <c r="E36">
        <f t="shared" si="3"/>
        <v>0.5654132534251339</v>
      </c>
    </row>
    <row r="37" spans="2:5" ht="12.75">
      <c r="B37">
        <f t="shared" si="0"/>
        <v>34</v>
      </c>
      <c r="C37">
        <f t="shared" si="1"/>
        <v>0.11493363856309675</v>
      </c>
      <c r="D37">
        <f t="shared" si="2"/>
        <v>0.6679368612332747</v>
      </c>
      <c r="E37">
        <f t="shared" si="3"/>
        <v>0.4469967773298224</v>
      </c>
    </row>
    <row r="38" spans="2:5" ht="12.75">
      <c r="B38">
        <f t="shared" si="0"/>
        <v>35</v>
      </c>
      <c r="C38">
        <f t="shared" si="1"/>
        <v>0.10199153136355482</v>
      </c>
      <c r="D38">
        <f t="shared" si="2"/>
        <v>0.7699283925968294</v>
      </c>
      <c r="E38">
        <f t="shared" si="3"/>
        <v>0.33206313876672566</v>
      </c>
    </row>
    <row r="39" spans="2:5" ht="12.75">
      <c r="B39">
        <f t="shared" si="0"/>
        <v>36</v>
      </c>
      <c r="C39">
        <f t="shared" si="1"/>
        <v>0.08249315036758112</v>
      </c>
      <c r="D39">
        <f t="shared" si="2"/>
        <v>0.8524215429644105</v>
      </c>
      <c r="E39">
        <f t="shared" si="3"/>
        <v>0.23007160740317084</v>
      </c>
    </row>
    <row r="40" spans="2:5" ht="12.75">
      <c r="B40">
        <f t="shared" si="0"/>
        <v>37</v>
      </c>
      <c r="C40">
        <f t="shared" si="1"/>
        <v>0.060591153370146915</v>
      </c>
      <c r="D40">
        <f t="shared" si="2"/>
        <v>0.9130126963345574</v>
      </c>
      <c r="E40">
        <f t="shared" si="3"/>
        <v>0.14757845703558972</v>
      </c>
    </row>
    <row r="41" spans="2:5" ht="12.75">
      <c r="B41">
        <f t="shared" si="0"/>
        <v>38</v>
      </c>
      <c r="C41">
        <f t="shared" si="1"/>
        <v>0.04023777832166114</v>
      </c>
      <c r="D41">
        <f t="shared" si="2"/>
        <v>0.9532504746562185</v>
      </c>
      <c r="E41">
        <f t="shared" si="3"/>
        <v>0.0869873036654428</v>
      </c>
    </row>
    <row r="42" spans="2:5" ht="12.75">
      <c r="B42">
        <f t="shared" si="0"/>
        <v>39</v>
      </c>
      <c r="C42">
        <f t="shared" si="1"/>
        <v>0.02403342415592425</v>
      </c>
      <c r="D42">
        <f t="shared" si="2"/>
        <v>0.9772838988121427</v>
      </c>
      <c r="E42">
        <f t="shared" si="3"/>
        <v>0.04674952534378166</v>
      </c>
    </row>
    <row r="43" spans="2:5" ht="12.75">
      <c r="B43">
        <f t="shared" si="0"/>
        <v>40</v>
      </c>
      <c r="C43">
        <f t="shared" si="1"/>
        <v>0.012829607306765432</v>
      </c>
      <c r="D43">
        <f t="shared" si="2"/>
        <v>0.9901135061189081</v>
      </c>
      <c r="E43">
        <f t="shared" si="3"/>
        <v>0.022716101187857413</v>
      </c>
    </row>
    <row r="44" spans="2:5" ht="12.75">
      <c r="B44">
        <f t="shared" si="0"/>
        <v>41</v>
      </c>
      <c r="C44">
        <f t="shared" si="1"/>
        <v>0.006074276056287818</v>
      </c>
      <c r="D44">
        <f t="shared" si="2"/>
        <v>0.996187782175196</v>
      </c>
      <c r="E44">
        <f t="shared" si="3"/>
        <v>0.00988649388109198</v>
      </c>
    </row>
    <row r="45" spans="2:5" ht="12.75">
      <c r="B45">
        <f t="shared" si="0"/>
        <v>42</v>
      </c>
      <c r="C45">
        <f t="shared" si="1"/>
        <v>0.002526694662069298</v>
      </c>
      <c r="D45">
        <f t="shared" si="2"/>
        <v>0.9987144768372653</v>
      </c>
      <c r="E45">
        <f t="shared" si="3"/>
        <v>0.003812217824804162</v>
      </c>
    </row>
    <row r="46" spans="2:5" ht="12.75">
      <c r="B46">
        <f t="shared" si="0"/>
        <v>43</v>
      </c>
      <c r="C46">
        <f t="shared" si="1"/>
        <v>0.0009125135304874069</v>
      </c>
      <c r="D46">
        <f t="shared" si="2"/>
        <v>0.9996269903677527</v>
      </c>
      <c r="E46">
        <f t="shared" si="3"/>
        <v>0.001285523162734864</v>
      </c>
    </row>
    <row r="47" spans="2:5" ht="12.75">
      <c r="B47">
        <f t="shared" si="0"/>
        <v>44</v>
      </c>
      <c r="C47">
        <f t="shared" si="1"/>
        <v>0.00028180564912111086</v>
      </c>
      <c r="D47">
        <f t="shared" si="2"/>
        <v>0.9999087960168738</v>
      </c>
      <c r="E47">
        <f t="shared" si="3"/>
        <v>0.00037300963224745707</v>
      </c>
    </row>
    <row r="48" spans="2:5" ht="12.75">
      <c r="B48">
        <f t="shared" si="0"/>
        <v>45</v>
      </c>
      <c r="C48">
        <f t="shared" si="1"/>
        <v>7.293793271369943E-05</v>
      </c>
      <c r="D48">
        <f t="shared" si="2"/>
        <v>0.9999817339495874</v>
      </c>
      <c r="E48">
        <f t="shared" si="3"/>
        <v>9.120398312634622E-05</v>
      </c>
    </row>
    <row r="49" spans="2:5" ht="12.75">
      <c r="B49">
        <f t="shared" si="0"/>
        <v>46</v>
      </c>
      <c r="C49">
        <f t="shared" si="1"/>
        <v>1.538971726056317E-05</v>
      </c>
      <c r="D49">
        <f t="shared" si="2"/>
        <v>0.999997123666848</v>
      </c>
      <c r="E49">
        <f t="shared" si="3"/>
        <v>1.8266050412646785E-05</v>
      </c>
    </row>
    <row r="50" spans="2:5" ht="12.75">
      <c r="B50">
        <f t="shared" si="0"/>
        <v>47</v>
      </c>
      <c r="C50">
        <f t="shared" si="1"/>
        <v>2.5424814498051787E-06</v>
      </c>
      <c r="D50">
        <f t="shared" si="2"/>
        <v>0.9999996661482978</v>
      </c>
      <c r="E50">
        <f t="shared" si="3"/>
        <v>2.8763331520836156E-06</v>
      </c>
    </row>
    <row r="51" spans="2:5" ht="12.75">
      <c r="B51">
        <f t="shared" si="0"/>
        <v>48</v>
      </c>
      <c r="C51">
        <f t="shared" si="1"/>
        <v>3.0846282295430445E-07</v>
      </c>
      <c r="D51">
        <f t="shared" si="2"/>
        <v>0.9999999746111208</v>
      </c>
      <c r="E51">
        <f t="shared" si="3"/>
        <v>3.338517022784369E-07</v>
      </c>
    </row>
    <row r="52" spans="2:5" ht="12.75">
      <c r="B52">
        <f t="shared" si="0"/>
        <v>49</v>
      </c>
      <c r="C52">
        <f t="shared" si="1"/>
        <v>2.4440031590617137E-08</v>
      </c>
      <c r="D52">
        <f t="shared" si="2"/>
        <v>0.9999999990511523</v>
      </c>
      <c r="E52">
        <f t="shared" si="3"/>
        <v>2.5388879324132458E-08</v>
      </c>
    </row>
    <row r="53" spans="2:5" ht="12.75">
      <c r="B53">
        <f t="shared" si="0"/>
        <v>50</v>
      </c>
      <c r="C53">
        <f t="shared" si="1"/>
        <v>9.488482852827858E-10</v>
      </c>
      <c r="D53">
        <f t="shared" si="2"/>
        <v>1.0000000000000007</v>
      </c>
      <c r="E53">
        <f t="shared" si="3"/>
        <v>9.488477335153204E-10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6" sqref="A6"/>
    </sheetView>
  </sheetViews>
  <sheetFormatPr defaultColWidth="9.00390625" defaultRowHeight="12.75"/>
  <cols>
    <col min="2" max="2" width="22.00390625" style="0" customWidth="1"/>
    <col min="3" max="3" width="21.00390625" style="0" customWidth="1"/>
  </cols>
  <sheetData>
    <row r="1" spans="1:4" ht="12.75">
      <c r="A1" t="s">
        <v>78</v>
      </c>
      <c r="B1" t="s">
        <v>81</v>
      </c>
      <c r="C1" t="s">
        <v>82</v>
      </c>
      <c r="D1" t="s">
        <v>83</v>
      </c>
    </row>
    <row r="2" spans="1:4" ht="12.75">
      <c r="A2" t="s">
        <v>79</v>
      </c>
      <c r="B2" s="1">
        <v>4</v>
      </c>
      <c r="C2">
        <f>0.5*$B$4</f>
        <v>6</v>
      </c>
      <c r="D2">
        <f>(C2-B2)*(C2-B2)/C2</f>
        <v>0.6666666666666666</v>
      </c>
    </row>
    <row r="3" spans="1:4" ht="12.75">
      <c r="A3" t="s">
        <v>80</v>
      </c>
      <c r="B3" s="1">
        <v>8</v>
      </c>
      <c r="C3">
        <f>0.5*$B$4</f>
        <v>6</v>
      </c>
      <c r="D3">
        <f>(C3-B3)*(C3-B3)/C3</f>
        <v>0.6666666666666666</v>
      </c>
    </row>
    <row r="4" spans="1:4" ht="12.75">
      <c r="A4" t="s">
        <v>4</v>
      </c>
      <c r="B4">
        <f>SUM(B2:B3)</f>
        <v>12</v>
      </c>
      <c r="D4">
        <f>SUM(D2:D3)</f>
        <v>1.3333333333333333</v>
      </c>
    </row>
    <row r="6" spans="1:2" ht="12.75">
      <c r="A6" t="s">
        <v>86</v>
      </c>
      <c r="B6" s="4">
        <f>CHIDIST(D4,1)</f>
        <v>0.24821325135500807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ММА</dc:creator>
  <cp:keywords/>
  <dc:description/>
  <cp:lastModifiedBy>ок</cp:lastModifiedBy>
  <cp:lastPrinted>2008-03-04T15:52:29Z</cp:lastPrinted>
  <dcterms:created xsi:type="dcterms:W3CDTF">2008-02-15T12:56:10Z</dcterms:created>
  <dcterms:modified xsi:type="dcterms:W3CDTF">2008-09-02T06:07:40Z</dcterms:modified>
  <cp:category/>
  <cp:version/>
  <cp:contentType/>
  <cp:contentStatus/>
</cp:coreProperties>
</file>